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Anexa 1.3cuimprumut" sheetId="1" r:id="rId1"/>
    <sheet name="anexa 1.4cuimprumut" sheetId="2" r:id="rId2"/>
  </sheets>
  <externalReferences>
    <externalReference r:id="rId5"/>
    <externalReference r:id="rId6"/>
    <externalReference r:id="rId7"/>
    <externalReference r:id="rId8"/>
  </externalReferences>
  <definedNames>
    <definedName name="Capital_Expenditures___Culture___Sports">'[1]Buget Condensat'!#REF!</definedName>
    <definedName name="Capital_Expenditures___Education">'[1]Buget Condensat'!#REF!</definedName>
    <definedName name="Capital_Expenditures___General_Administration">'[1]Buget Condensat'!#REF!</definedName>
    <definedName name="Capital_Expenditures___Health">'[1]Buget Condensat'!#REF!</definedName>
    <definedName name="Capital_Expenditures___Other_Activities">'[1]Buget Condensat'!#REF!</definedName>
    <definedName name="Capital_Expenditures___Public_Works___Housing">'[1]Buget Condensat'!#REF!</definedName>
    <definedName name="Capital_Expenditures___Social_Assistance">'[1]Buget Condensat'!#REF!</definedName>
    <definedName name="Capital_Expenditures___Transportation___Communication">'[1]Buget Condensat'!#REF!</definedName>
    <definedName name="Capital_Expenditures__Other_Economic_Activities">'[1]Buget Condensat'!#REF!</definedName>
    <definedName name="Change_in_Operating_Expenditures">'[1]Buget Condensat'!#REF!</definedName>
    <definedName name="creditnou">#REF!</definedName>
    <definedName name="db">#REF!</definedName>
    <definedName name="Deflator__Base_Year___1995">'[1]Buget Condensat'!#REF!</definedName>
    <definedName name="Deflator__Base_Year___1997">'[1]Buget Condensat'!#REF!</definedName>
    <definedName name="indfin">'[2]Buget Condensat'!$C$76:$Q$76</definedName>
    <definedName name="Net_Outstanding_Debt">'[1]Buget Condensat'!#REF!</definedName>
    <definedName name="_xlnm.Print_Area" localSheetId="0">'Anexa 1.3cuimprumut'!$A$1:$U$34</definedName>
    <definedName name="Proceeds_from_the_sale_of_public_property">'[1]Buget Condensat'!#REF!</definedName>
    <definedName name="Recurring_Surplus__Deficit">'[3]"Cash Flow"'!$C$36:$AM$36</definedName>
    <definedName name="Total_Population">'[1]Buget Condensat'!#REF!</definedName>
    <definedName name="trageri">#REF!</definedName>
    <definedName name="trezorerie">#REF!</definedName>
  </definedNames>
  <calcPr fullCalcOnLoad="1"/>
</workbook>
</file>

<file path=xl/sharedStrings.xml><?xml version="1.0" encoding="utf-8"?>
<sst xmlns="http://schemas.openxmlformats.org/spreadsheetml/2006/main" count="117" uniqueCount="103">
  <si>
    <t>JUDEŢUL SUCEAVA</t>
  </si>
  <si>
    <t>MUNICIPIUL SUCEAVA</t>
  </si>
  <si>
    <t>Anexa 1.3</t>
  </si>
  <si>
    <t xml:space="preserve">  CALCULUL GRADULUI DE INDATORARE A BUGETULUI LOCAL</t>
  </si>
  <si>
    <t>AL MUNICIPIULUI SUCEAVA IN URMA CONTRACTARII  DE FINANTARI RAMBURSABILE</t>
  </si>
  <si>
    <t xml:space="preserve"> PE BAZA DATELOR DIN BUGETUL LOCAL</t>
  </si>
  <si>
    <t>Mii Lei</t>
  </si>
  <si>
    <t>D E N U M I R E A     I N D I C A T O R I L O R</t>
  </si>
  <si>
    <r>
      <t>Executie buget local</t>
    </r>
    <r>
      <rPr>
        <vertAlign val="superscript"/>
        <sz val="10"/>
        <rFont val="Arial"/>
        <family val="2"/>
      </rPr>
      <t>1)</t>
    </r>
    <r>
      <rPr>
        <sz val="10"/>
        <rFont val="Arial"/>
        <family val="2"/>
      </rPr>
      <t xml:space="preserve"> la 31.XII.2020</t>
    </r>
  </si>
  <si>
    <r>
      <t>Executie buget local</t>
    </r>
    <r>
      <rPr>
        <vertAlign val="superscript"/>
        <sz val="10"/>
        <rFont val="Arial"/>
        <family val="2"/>
      </rPr>
      <t>1)</t>
    </r>
    <r>
      <rPr>
        <sz val="10"/>
        <rFont val="Arial"/>
        <family val="2"/>
      </rPr>
      <t xml:space="preserve"> la 31.XII.2021</t>
    </r>
  </si>
  <si>
    <r>
      <t>Executie buget local</t>
    </r>
    <r>
      <rPr>
        <vertAlign val="superscript"/>
        <sz val="10"/>
        <rFont val="Arial"/>
        <family val="2"/>
      </rPr>
      <t>1)</t>
    </r>
    <r>
      <rPr>
        <sz val="10"/>
        <rFont val="Arial"/>
        <family val="2"/>
      </rPr>
      <t xml:space="preserve"> la 31.XII.2022</t>
    </r>
  </si>
  <si>
    <r>
      <t>Buget local</t>
    </r>
    <r>
      <rPr>
        <vertAlign val="superscript"/>
        <sz val="10"/>
        <rFont val="Arial"/>
        <family val="2"/>
      </rPr>
      <t>2)</t>
    </r>
    <r>
      <rPr>
        <sz val="10"/>
        <rFont val="Arial"/>
        <family val="2"/>
      </rPr>
      <t xml:space="preserve"> aprobat  (anul curent)</t>
    </r>
  </si>
  <si>
    <r>
      <t>Execuţie       (anul curent)</t>
    </r>
    <r>
      <rPr>
        <vertAlign val="superscript"/>
        <sz val="10"/>
        <rFont val="Arial"/>
        <family val="2"/>
      </rPr>
      <t xml:space="preserve">3)    </t>
    </r>
    <r>
      <rPr>
        <sz val="10"/>
        <rFont val="Arial"/>
        <family val="2"/>
      </rPr>
      <t xml:space="preserve">        </t>
    </r>
  </si>
  <si>
    <r>
      <t>Indicatori pe perioada serviciului datoriei publice locale</t>
    </r>
    <r>
      <rPr>
        <vertAlign val="superscript"/>
        <sz val="12"/>
        <rFont val="Arial"/>
        <family val="2"/>
      </rPr>
      <t>4)</t>
    </r>
  </si>
  <si>
    <t>A</t>
  </si>
  <si>
    <r>
      <t xml:space="preserve">VENITURI PROPRII </t>
    </r>
    <r>
      <rPr>
        <b/>
        <i/>
        <vertAlign val="superscript"/>
        <sz val="12"/>
        <rFont val="Arial"/>
        <family val="2"/>
      </rPr>
      <t>5)</t>
    </r>
  </si>
  <si>
    <t xml:space="preserve">Limita de îndatorare 30% din venituri proprii </t>
  </si>
  <si>
    <r>
      <t>Serviciul anual al datoriei publice locale</t>
    </r>
    <r>
      <rPr>
        <b/>
        <vertAlign val="superscript"/>
        <sz val="10"/>
        <rFont val="Arial"/>
        <family val="2"/>
      </rPr>
      <t>6)</t>
    </r>
  </si>
  <si>
    <t xml:space="preserve">   Rambursari</t>
  </si>
  <si>
    <t>Dobânzi</t>
  </si>
  <si>
    <t>Comisioane</t>
  </si>
  <si>
    <t>Gradul de îndatorare - în % ( serviciul anual al datoriei/venituri proprii x100)</t>
  </si>
  <si>
    <t>-</t>
  </si>
  <si>
    <t xml:space="preserve">1) Situaţia financiară privind contul de execuţie a bugetului local al unităţii administrativ-teritoriale </t>
  </si>
  <si>
    <t>2) Ultimul buget local aprobat pe anul curent</t>
  </si>
  <si>
    <t>3) Ultimul cont de execuţie la finele lunii precedente solicitarii autorizarii.</t>
  </si>
  <si>
    <t>4) Pe perioada serviciului datoriei publice locale, veniturile proprii estimate se vor completa cu media execuţiei bugetului local pe ultimii 3 ani, respectiv ( col.1+col.2+col.3)/3.</t>
  </si>
  <si>
    <t>5) Veniturile proprii prevăzute la art. 5 alin. (1) lit. a) din Legea nr. 273/2006 privind finanţele publice locale, cu modificările şi completările ulterioare, diminuate cu veniturile din valorificarea unor bunuri, prevăzute la art. 29 din aceeaşi lege.</t>
  </si>
  <si>
    <t>6) Cuprinde serviciul datoriei publice locale aferent contractelor/acordurilor de finanţare rambursabilă în derulare şi celor pentru care se solicită autorizarea (trebuie să corespundă cu datele cuprinse în macheta din anexa nr. 1.4 la norme şi proceduri privind situaţia estimativă a serviciului datoriei publice).</t>
  </si>
  <si>
    <t>Nota: Se va avea în vedere ca datele cuprinse în anexă să concorde cu prevederile din urmatoarele documente: ultimul buget aprobat pe anul în curs, situaţiile financiare privind conturile de execuţie a bugetului local, situaţia estimativă privind serviciu datoriei publice locale.</t>
  </si>
  <si>
    <t>ORDONATOR PRINCIPAL DE CREDITE</t>
  </si>
  <si>
    <t xml:space="preserve">Data </t>
  </si>
  <si>
    <t>PRIMAR</t>
  </si>
  <si>
    <t>DIRECTOR ECONOMIC</t>
  </si>
  <si>
    <t>ION LUNGU</t>
  </si>
  <si>
    <t>ELISABETA VĂIDEANU</t>
  </si>
  <si>
    <t>2018 (buget aprobat)</t>
  </si>
  <si>
    <t>VT</t>
  </si>
  <si>
    <t>SDTVA</t>
  </si>
  <si>
    <t>Transf</t>
  </si>
  <si>
    <t>Subv</t>
  </si>
  <si>
    <t>Ven. val. bun.</t>
  </si>
  <si>
    <t>VP</t>
  </si>
  <si>
    <t>Consiliul Local al Municipiului Suceava</t>
  </si>
  <si>
    <t>Judetul Suceava</t>
  </si>
  <si>
    <t>Anexa 1.4</t>
  </si>
  <si>
    <t>SITUATIE PRIVIND SERVICIUL DATORIEI PUBLICE LOCALE</t>
  </si>
  <si>
    <t xml:space="preserve"> A MUNICIPIULUI SUCEAVA IN PERIOADA 2023-2035</t>
  </si>
  <si>
    <t>mii lei</t>
  </si>
  <si>
    <t>Nr. Crt.</t>
  </si>
  <si>
    <t>Serviciul anual al datoriei publice locale</t>
  </si>
  <si>
    <t>Serviciul datoriei publice locale pentru imprumuturi existente (a+b+c+d+e+f+g+h+i+j+k+l+m+n+o+p+q+r+s+t+u)</t>
  </si>
  <si>
    <t>Subtotal rambursari</t>
  </si>
  <si>
    <t>Subtotal dobanzi</t>
  </si>
  <si>
    <t>Subtotal comisioane</t>
  </si>
  <si>
    <t>a) Rambursare Credit BCR 2006</t>
  </si>
  <si>
    <t>b) Dobanda Credit BCR 2006</t>
  </si>
  <si>
    <t>c) Comisioane Credit BCR 2006</t>
  </si>
  <si>
    <t>Subtotal imprumut BCR 2006</t>
  </si>
  <si>
    <t>a) Rambursare Credit BCR 2020</t>
  </si>
  <si>
    <t>b) Dobanda Credit BCR 2020</t>
  </si>
  <si>
    <t>c) Comisioane Credit BCR 2020</t>
  </si>
  <si>
    <t>Subtotal imprumut BCR 2020</t>
  </si>
  <si>
    <t>g) Rambursare credit KFW</t>
  </si>
  <si>
    <t>h) Dobanzi Credit KFW</t>
  </si>
  <si>
    <t>i) Comisioane Credit KFW</t>
  </si>
  <si>
    <t>Subtotal imprumut KFW</t>
  </si>
  <si>
    <t>p) Rambursare credit CEC Bank 2018</t>
  </si>
  <si>
    <t>q) Dobanda credit CEC Bank 2018</t>
  </si>
  <si>
    <t>r) Comisioane credit CEC Bank 2018</t>
  </si>
  <si>
    <t>Subtotal credit CEC Bank 2018</t>
  </si>
  <si>
    <t>m) Rambursare credit CEC 2011*</t>
  </si>
  <si>
    <t>n) Dobanda credit CEC 2011*</t>
  </si>
  <si>
    <t>o) Comisioane credit CEC 2011*</t>
  </si>
  <si>
    <t>Subtotal credit CEC 2011*</t>
  </si>
  <si>
    <t>p) Rambursare credit CEC Bank 2015</t>
  </si>
  <si>
    <t>q) Dobanda credit CEC Bank 2015</t>
  </si>
  <si>
    <t>r) Comisioane credit CEC Bank 2015</t>
  </si>
  <si>
    <t>Subtotal credit CEC Bank 2015</t>
  </si>
  <si>
    <t>s) Rambursare credit MFP2018</t>
  </si>
  <si>
    <t>t) Dobanda credit MFP2018</t>
  </si>
  <si>
    <t>u) Comisioane credit MFP2018</t>
  </si>
  <si>
    <t>Subtotal credit MFP2018</t>
  </si>
  <si>
    <t>s) Rambursare credit MFP2021</t>
  </si>
  <si>
    <t>t) Dobanda credit MFP2021</t>
  </si>
  <si>
    <t>u) Comisioane credit MFP2021</t>
  </si>
  <si>
    <t>Subtotal credit MFP2021</t>
  </si>
  <si>
    <t>Subtotal credit CEC Bank 2018 refinantare</t>
  </si>
  <si>
    <t>Serviciul datoriei publice pentru noul imprumut (2a+2b+2c)</t>
  </si>
  <si>
    <t xml:space="preserve">a) Rambursare credit </t>
  </si>
  <si>
    <t xml:space="preserve">b) Dobanda credit </t>
  </si>
  <si>
    <t xml:space="preserve">c) Comisioane credit </t>
  </si>
  <si>
    <t>Subtotal credit credit 50 mil. lei</t>
  </si>
  <si>
    <t>Subtotal credit credit 15 mil. lei</t>
  </si>
  <si>
    <t>Serviciul TOTAL al datoriei publice locale (3a+3b+3c)</t>
  </si>
  <si>
    <t>a) Rambursarea imprumuturilor (1a+1d+1g+1j+1m+1p+1s+2a)</t>
  </si>
  <si>
    <t>b) Dobanda (1b+1e+1h+1k+1n+1q+1t+2b)</t>
  </si>
  <si>
    <t>c) Comisioane (1c+1f+1i+1l+1o+1r+1u+2c)</t>
  </si>
  <si>
    <t>* valoarea totala a creditului este 15.647.858,67 lei din care 80% este garantat de FNGCIMM; in serviciul anual al datoriei au fost incluse dobanzile si comisioanele integral si 20% din ratele de principal</t>
  </si>
  <si>
    <t>a) Rambursare Credit Erste Bank</t>
  </si>
  <si>
    <t>b) Dobanda Credit Erste Bank</t>
  </si>
  <si>
    <t>c) Comisioane Credit Erste Bank</t>
  </si>
  <si>
    <t>Subtotal imprumut Erste Bank</t>
  </si>
</sst>
</file>

<file path=xl/styles.xml><?xml version="1.0" encoding="utf-8"?>
<styleSheet xmlns="http://schemas.openxmlformats.org/spreadsheetml/2006/main">
  <numFmts count="1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0"/>
    <numFmt numFmtId="165" formatCode="_(* #,##0.00_);_(* \(#,##0.00\);_(* &quot;-&quot;??_);_(@_)"/>
  </numFmts>
  <fonts count="55">
    <font>
      <sz val="10"/>
      <name val="Arial"/>
      <family val="0"/>
    </font>
    <font>
      <sz val="11"/>
      <color indexed="8"/>
      <name val="Calibri"/>
      <family val="2"/>
    </font>
    <font>
      <sz val="10"/>
      <name val="Tahoma"/>
      <family val="2"/>
    </font>
    <font>
      <vertAlign val="superscript"/>
      <sz val="10"/>
      <name val="Arial"/>
      <family val="2"/>
    </font>
    <font>
      <sz val="12"/>
      <name val="Arial"/>
      <family val="2"/>
    </font>
    <font>
      <vertAlign val="superscript"/>
      <sz val="12"/>
      <name val="Arial"/>
      <family val="2"/>
    </font>
    <font>
      <b/>
      <i/>
      <sz val="12"/>
      <name val="Arial"/>
      <family val="2"/>
    </font>
    <font>
      <b/>
      <i/>
      <vertAlign val="superscript"/>
      <sz val="12"/>
      <name val="Arial"/>
      <family val="2"/>
    </font>
    <font>
      <b/>
      <sz val="10"/>
      <name val="Arial"/>
      <family val="2"/>
    </font>
    <font>
      <b/>
      <i/>
      <sz val="10"/>
      <name val="Arial"/>
      <family val="2"/>
    </font>
    <font>
      <b/>
      <sz val="12"/>
      <name val="Arial"/>
      <family val="2"/>
    </font>
    <font>
      <b/>
      <vertAlign val="superscript"/>
      <sz val="10"/>
      <name val="Arial"/>
      <family val="2"/>
    </font>
    <font>
      <sz val="8"/>
      <name val="Arial"/>
      <family val="2"/>
    </font>
    <font>
      <vertAlign val="superscript"/>
      <sz val="14"/>
      <name val="Arial"/>
      <family val="2"/>
    </font>
    <font>
      <sz val="14"/>
      <name val="Arial"/>
      <family val="2"/>
    </font>
    <font>
      <b/>
      <sz val="10"/>
      <color indexed="9"/>
      <name val="Arial"/>
      <family val="2"/>
    </font>
    <font>
      <sz val="10"/>
      <color indexed="9"/>
      <name val="Arial"/>
      <family val="2"/>
    </font>
    <font>
      <b/>
      <sz val="11"/>
      <name val="Arial"/>
      <family val="2"/>
    </font>
    <font>
      <sz val="9"/>
      <name val="Arial"/>
      <family val="2"/>
    </font>
    <font>
      <b/>
      <sz val="9"/>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0"/>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top style="thin"/>
      <bottom style="thin"/>
    </border>
    <border>
      <left/>
      <right/>
      <top style="thin"/>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right style="thin"/>
      <top style="thin"/>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5"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40">
    <xf numFmtId="0" fontId="0" fillId="0" borderId="0" xfId="0" applyAlignment="1">
      <alignment/>
    </xf>
    <xf numFmtId="0" fontId="0" fillId="0" borderId="0" xfId="57" applyFont="1">
      <alignment/>
      <protection/>
    </xf>
    <xf numFmtId="0" fontId="0" fillId="0" borderId="0" xfId="0" applyFont="1" applyAlignment="1">
      <alignment/>
    </xf>
    <xf numFmtId="0" fontId="0" fillId="0" borderId="0" xfId="0" applyFont="1" applyAlignment="1">
      <alignment horizontal="center"/>
    </xf>
    <xf numFmtId="4" fontId="0" fillId="0" borderId="0" xfId="0" applyNumberFormat="1" applyFont="1" applyAlignment="1">
      <alignment/>
    </xf>
    <xf numFmtId="164" fontId="0" fillId="0" borderId="0" xfId="57" applyNumberFormat="1" applyFont="1" applyAlignment="1">
      <alignment vertical="center"/>
      <protection/>
    </xf>
    <xf numFmtId="0" fontId="0" fillId="0" borderId="0" xfId="57" applyFont="1" applyAlignment="1">
      <alignment vertical="center"/>
      <protection/>
    </xf>
    <xf numFmtId="0" fontId="0" fillId="0" borderId="0" xfId="57" applyFont="1" applyAlignment="1">
      <alignment horizontal="center" vertical="center"/>
      <protection/>
    </xf>
    <xf numFmtId="0" fontId="0" fillId="0" borderId="0" xfId="57" applyFont="1" applyAlignment="1">
      <alignment horizontal="left" vertical="top"/>
      <protection/>
    </xf>
    <xf numFmtId="0" fontId="0" fillId="0" borderId="0" xfId="57" applyFont="1" applyAlignment="1">
      <alignment horizontal="left" vertical="center"/>
      <protection/>
    </xf>
    <xf numFmtId="0" fontId="0" fillId="0" borderId="10" xfId="57" applyFont="1" applyBorder="1">
      <alignment/>
      <protection/>
    </xf>
    <xf numFmtId="0" fontId="0" fillId="0" borderId="11" xfId="57" applyFont="1" applyBorder="1" applyAlignment="1">
      <alignment horizontal="center" vertical="center" wrapText="1"/>
      <protection/>
    </xf>
    <xf numFmtId="1" fontId="0" fillId="0" borderId="11" xfId="56" applyNumberFormat="1" applyBorder="1" applyAlignment="1">
      <alignment horizontal="center" vertical="center" wrapText="1"/>
      <protection/>
    </xf>
    <xf numFmtId="0" fontId="4" fillId="0" borderId="0" xfId="0" applyFont="1" applyAlignment="1">
      <alignment vertical="center"/>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1" fontId="0" fillId="0" borderId="0" xfId="56" applyNumberFormat="1" applyAlignment="1">
      <alignment horizontal="center" vertical="center" wrapText="1"/>
      <protection/>
    </xf>
    <xf numFmtId="0" fontId="0" fillId="0" borderId="11" xfId="0" applyFont="1" applyBorder="1" applyAlignment="1">
      <alignment horizontal="center"/>
    </xf>
    <xf numFmtId="0" fontId="0" fillId="0" borderId="12" xfId="57" applyFont="1" applyBorder="1" applyAlignment="1">
      <alignment horizontal="center" vertical="center" wrapText="1"/>
      <protection/>
    </xf>
    <xf numFmtId="0" fontId="0" fillId="0" borderId="0" xfId="57" applyFont="1" applyAlignment="1">
      <alignment horizontal="center" vertical="center" wrapText="1"/>
      <protection/>
    </xf>
    <xf numFmtId="4" fontId="8" fillId="0" borderId="11" xfId="57" applyNumberFormat="1" applyFont="1" applyBorder="1" applyAlignment="1">
      <alignment horizontal="right"/>
      <protection/>
    </xf>
    <xf numFmtId="4" fontId="8" fillId="0" borderId="12" xfId="57" applyNumberFormat="1" applyFont="1" applyBorder="1" applyAlignment="1">
      <alignment horizontal="right"/>
      <protection/>
    </xf>
    <xf numFmtId="4" fontId="8" fillId="0" borderId="0" xfId="57" applyNumberFormat="1" applyFont="1" applyAlignment="1">
      <alignment horizontal="right"/>
      <protection/>
    </xf>
    <xf numFmtId="0" fontId="9" fillId="0" borderId="0" xfId="0" applyFont="1" applyAlignment="1">
      <alignment/>
    </xf>
    <xf numFmtId="4" fontId="0" fillId="0" borderId="11" xfId="57" applyNumberFormat="1" applyFont="1" applyBorder="1" applyAlignment="1">
      <alignment horizontal="right"/>
      <protection/>
    </xf>
    <xf numFmtId="4" fontId="0" fillId="0" borderId="12" xfId="57" applyNumberFormat="1" applyFont="1" applyBorder="1" applyAlignment="1">
      <alignment horizontal="right"/>
      <protection/>
    </xf>
    <xf numFmtId="4" fontId="0" fillId="0" borderId="0" xfId="57" applyNumberFormat="1" applyFont="1" applyAlignment="1">
      <alignment horizontal="right"/>
      <protection/>
    </xf>
    <xf numFmtId="2" fontId="4" fillId="0" borderId="0" xfId="0" applyNumberFormat="1" applyFont="1" applyAlignment="1">
      <alignment horizontal="right"/>
    </xf>
    <xf numFmtId="2" fontId="0" fillId="0" borderId="11" xfId="57" applyNumberFormat="1" applyFont="1" applyBorder="1">
      <alignment/>
      <protection/>
    </xf>
    <xf numFmtId="4" fontId="0" fillId="0" borderId="11" xfId="57" applyNumberFormat="1" applyFont="1" applyBorder="1">
      <alignment/>
      <protection/>
    </xf>
    <xf numFmtId="4" fontId="0" fillId="0" borderId="12" xfId="57" applyNumberFormat="1" applyFont="1" applyBorder="1">
      <alignment/>
      <protection/>
    </xf>
    <xf numFmtId="4" fontId="0" fillId="0" borderId="0" xfId="57" applyNumberFormat="1" applyFont="1">
      <alignment/>
      <protection/>
    </xf>
    <xf numFmtId="2" fontId="0" fillId="0" borderId="0" xfId="0" applyNumberFormat="1" applyFont="1" applyAlignment="1">
      <alignment/>
    </xf>
    <xf numFmtId="0" fontId="0" fillId="0" borderId="12" xfId="57" applyFont="1" applyBorder="1">
      <alignment/>
      <protection/>
    </xf>
    <xf numFmtId="10" fontId="0" fillId="0" borderId="12" xfId="57" applyNumberFormat="1" applyFont="1" applyBorder="1">
      <alignment/>
      <protection/>
    </xf>
    <xf numFmtId="10" fontId="0" fillId="0" borderId="0" xfId="57" applyNumberFormat="1" applyFont="1">
      <alignment/>
      <protection/>
    </xf>
    <xf numFmtId="0" fontId="0" fillId="0" borderId="0" xfId="57" applyFont="1" applyAlignment="1">
      <alignment horizontal="left" indent="4"/>
      <protection/>
    </xf>
    <xf numFmtId="0" fontId="0" fillId="0" borderId="0" xfId="57" applyFont="1" applyAlignment="1">
      <alignment horizontal="center"/>
      <protection/>
    </xf>
    <xf numFmtId="10" fontId="0" fillId="0" borderId="0" xfId="60" applyNumberFormat="1" applyFont="1" applyAlignment="1">
      <alignment/>
    </xf>
    <xf numFmtId="4" fontId="0" fillId="0" borderId="0" xfId="0" applyNumberFormat="1" applyAlignment="1">
      <alignment/>
    </xf>
    <xf numFmtId="0" fontId="3" fillId="0" borderId="0" xfId="0" applyFont="1" applyAlignment="1">
      <alignment/>
    </xf>
    <xf numFmtId="0" fontId="13" fillId="0" borderId="0" xfId="0" applyFont="1" applyAlignment="1">
      <alignment horizontal="left" vertical="top" wrapText="1"/>
    </xf>
    <xf numFmtId="0" fontId="14" fillId="0" borderId="0" xfId="0" applyFont="1" applyAlignment="1">
      <alignment vertical="top" wrapText="1"/>
    </xf>
    <xf numFmtId="0" fontId="0" fillId="0" borderId="0" xfId="56" applyAlignment="1">
      <alignment horizontal="center"/>
      <protection/>
    </xf>
    <xf numFmtId="0" fontId="0" fillId="0" borderId="0" xfId="56">
      <alignment/>
      <protection/>
    </xf>
    <xf numFmtId="0" fontId="0" fillId="0" borderId="0" xfId="0" applyFont="1" applyAlignment="1">
      <alignment horizontal="center" vertical="center"/>
    </xf>
    <xf numFmtId="14" fontId="0" fillId="0" borderId="0" xfId="0" applyNumberFormat="1" applyFont="1" applyAlignment="1">
      <alignment horizontal="center"/>
    </xf>
    <xf numFmtId="0" fontId="8" fillId="0" borderId="0" xfId="0" applyFont="1" applyAlignment="1">
      <alignment/>
    </xf>
    <xf numFmtId="0" fontId="53" fillId="0" borderId="0" xfId="0" applyFont="1" applyAlignment="1">
      <alignment/>
    </xf>
    <xf numFmtId="0" fontId="53" fillId="0" borderId="0" xfId="0" applyFont="1" applyAlignment="1">
      <alignment horizontal="center"/>
    </xf>
    <xf numFmtId="0" fontId="54" fillId="0" borderId="0" xfId="0" applyFont="1" applyAlignment="1">
      <alignment/>
    </xf>
    <xf numFmtId="0" fontId="53" fillId="0" borderId="0" xfId="0" applyFont="1" applyAlignment="1">
      <alignment horizontal="right"/>
    </xf>
    <xf numFmtId="4" fontId="54" fillId="0" borderId="0" xfId="0" applyNumberFormat="1" applyFont="1" applyAlignment="1">
      <alignment/>
    </xf>
    <xf numFmtId="0" fontId="17" fillId="0" borderId="0" xfId="0" applyFont="1" applyAlignment="1">
      <alignment horizontal="center" vertical="center" wrapText="1"/>
    </xf>
    <xf numFmtId="17" fontId="17" fillId="0" borderId="0" xfId="0" applyNumberFormat="1" applyFont="1" applyAlignment="1">
      <alignment horizontal="center" vertical="center" wrapText="1"/>
    </xf>
    <xf numFmtId="165" fontId="0" fillId="0" borderId="0" xfId="42" applyFont="1" applyAlignment="1">
      <alignment horizontal="center" vertical="center"/>
    </xf>
    <xf numFmtId="10" fontId="0" fillId="0" borderId="0" xfId="60" applyNumberFormat="1" applyFont="1" applyAlignment="1">
      <alignment horizontal="center" vertical="center"/>
    </xf>
    <xf numFmtId="0" fontId="8" fillId="0" borderId="0" xfId="0" applyFont="1" applyAlignment="1">
      <alignment horizontal="center"/>
    </xf>
    <xf numFmtId="0" fontId="0" fillId="0" borderId="0" xfId="0" applyFont="1" applyAlignment="1">
      <alignment horizontal="right"/>
    </xf>
    <xf numFmtId="0" fontId="18" fillId="0" borderId="0" xfId="0" applyFont="1" applyAlignment="1">
      <alignment/>
    </xf>
    <xf numFmtId="0" fontId="18" fillId="0" borderId="0" xfId="0" applyFont="1" applyAlignment="1">
      <alignment horizontal="center"/>
    </xf>
    <xf numFmtId="4" fontId="18" fillId="0" borderId="0" xfId="0" applyNumberFormat="1" applyFont="1" applyAlignment="1">
      <alignment/>
    </xf>
    <xf numFmtId="0" fontId="18" fillId="0" borderId="11" xfId="0" applyFont="1" applyBorder="1" applyAlignment="1">
      <alignment horizontal="center" wrapText="1"/>
    </xf>
    <xf numFmtId="0" fontId="18" fillId="0" borderId="11" xfId="0" applyFont="1" applyBorder="1" applyAlignment="1">
      <alignment horizontal="center"/>
    </xf>
    <xf numFmtId="0" fontId="18" fillId="0" borderId="11" xfId="0" applyFont="1" applyBorder="1" applyAlignment="1">
      <alignment horizontal="center" vertical="center"/>
    </xf>
    <xf numFmtId="0" fontId="18" fillId="0" borderId="11" xfId="0" applyFont="1" applyBorder="1" applyAlignment="1">
      <alignment wrapText="1"/>
    </xf>
    <xf numFmtId="4" fontId="19" fillId="0" borderId="11" xfId="0" applyNumberFormat="1" applyFont="1" applyBorder="1" applyAlignment="1">
      <alignment/>
    </xf>
    <xf numFmtId="0" fontId="19" fillId="0" borderId="11" xfId="0" applyFont="1" applyBorder="1" applyAlignment="1">
      <alignment wrapText="1"/>
    </xf>
    <xf numFmtId="4" fontId="18" fillId="0" borderId="11" xfId="0" applyNumberFormat="1" applyFont="1" applyBorder="1" applyAlignment="1">
      <alignment/>
    </xf>
    <xf numFmtId="0" fontId="18" fillId="0" borderId="11" xfId="0" applyFont="1" applyBorder="1" applyAlignment="1">
      <alignment/>
    </xf>
    <xf numFmtId="4" fontId="18" fillId="0" borderId="11" xfId="0" applyNumberFormat="1" applyFont="1" applyBorder="1" applyAlignment="1">
      <alignment wrapText="1"/>
    </xf>
    <xf numFmtId="2" fontId="19" fillId="0" borderId="11" xfId="0" applyNumberFormat="1" applyFont="1" applyBorder="1" applyAlignment="1">
      <alignment wrapText="1"/>
    </xf>
    <xf numFmtId="4" fontId="19" fillId="0" borderId="11" xfId="0" applyNumberFormat="1" applyFont="1" applyBorder="1" applyAlignment="1">
      <alignment wrapText="1"/>
    </xf>
    <xf numFmtId="0" fontId="19" fillId="0" borderId="0" xfId="0" applyFont="1" applyAlignment="1">
      <alignment/>
    </xf>
    <xf numFmtId="0" fontId="19" fillId="0" borderId="11" xfId="0" applyFont="1" applyBorder="1" applyAlignment="1">
      <alignment/>
    </xf>
    <xf numFmtId="0" fontId="18" fillId="0" borderId="0" xfId="0" applyFont="1" applyAlignment="1">
      <alignment horizontal="center" vertical="center"/>
    </xf>
    <xf numFmtId="0" fontId="18" fillId="0" borderId="13" xfId="0" applyFont="1" applyBorder="1" applyAlignment="1">
      <alignment wrapText="1"/>
    </xf>
    <xf numFmtId="0" fontId="18" fillId="0" borderId="0" xfId="0" applyFont="1" applyAlignment="1">
      <alignment wrapText="1"/>
    </xf>
    <xf numFmtId="0" fontId="18" fillId="0" borderId="0" xfId="56" applyFont="1" applyAlignment="1">
      <alignment horizontal="center"/>
      <protection/>
    </xf>
    <xf numFmtId="0" fontId="18" fillId="0" borderId="0" xfId="56" applyFont="1">
      <alignment/>
      <protection/>
    </xf>
    <xf numFmtId="14" fontId="18" fillId="0" borderId="0" xfId="0" applyNumberFormat="1" applyFont="1" applyAlignment="1">
      <alignment/>
    </xf>
    <xf numFmtId="1" fontId="0" fillId="0" borderId="14" xfId="56" applyNumberFormat="1" applyBorder="1" applyAlignment="1">
      <alignment horizontal="center" vertical="center" wrapText="1"/>
      <protection/>
    </xf>
    <xf numFmtId="0" fontId="0" fillId="0" borderId="15" xfId="0" applyFont="1" applyBorder="1" applyAlignment="1">
      <alignment horizontal="center" vertical="center" wrapText="1"/>
    </xf>
    <xf numFmtId="0" fontId="0" fillId="0" borderId="14" xfId="0" applyFont="1" applyBorder="1" applyAlignment="1">
      <alignment horizontal="center"/>
    </xf>
    <xf numFmtId="0" fontId="0" fillId="0" borderId="15" xfId="57" applyFont="1" applyBorder="1" applyAlignment="1">
      <alignment horizontal="center" vertical="center" wrapText="1"/>
      <protection/>
    </xf>
    <xf numFmtId="4" fontId="8" fillId="0" borderId="14" xfId="57" applyNumberFormat="1" applyFont="1" applyBorder="1" applyAlignment="1">
      <alignment horizontal="right"/>
      <protection/>
    </xf>
    <xf numFmtId="4" fontId="8" fillId="0" borderId="15" xfId="57" applyNumberFormat="1" applyFont="1" applyBorder="1" applyAlignment="1">
      <alignment horizontal="right"/>
      <protection/>
    </xf>
    <xf numFmtId="4" fontId="0" fillId="0" borderId="14" xfId="57" applyNumberFormat="1" applyFont="1" applyBorder="1" applyAlignment="1">
      <alignment horizontal="right"/>
      <protection/>
    </xf>
    <xf numFmtId="4" fontId="0" fillId="0" borderId="15" xfId="57" applyNumberFormat="1" applyFont="1" applyBorder="1" applyAlignment="1">
      <alignment horizontal="right"/>
      <protection/>
    </xf>
    <xf numFmtId="4" fontId="0" fillId="0" borderId="14" xfId="57" applyNumberFormat="1" applyFont="1" applyBorder="1">
      <alignment/>
      <protection/>
    </xf>
    <xf numFmtId="4" fontId="0" fillId="0" borderId="15" xfId="57" applyNumberFormat="1" applyFont="1" applyBorder="1">
      <alignment/>
      <protection/>
    </xf>
    <xf numFmtId="10" fontId="0" fillId="0" borderId="16" xfId="57" applyNumberFormat="1" applyFont="1" applyBorder="1">
      <alignment/>
      <protection/>
    </xf>
    <xf numFmtId="10" fontId="0" fillId="0" borderId="17" xfId="57" applyNumberFormat="1" applyFont="1" applyBorder="1">
      <alignment/>
      <protection/>
    </xf>
    <xf numFmtId="10" fontId="0" fillId="0" borderId="18" xfId="57" applyNumberFormat="1" applyFont="1" applyBorder="1">
      <alignment/>
      <protection/>
    </xf>
    <xf numFmtId="0" fontId="0" fillId="0" borderId="19" xfId="0" applyFont="1" applyBorder="1" applyAlignment="1">
      <alignment horizontal="center" vertical="center" wrapText="1"/>
    </xf>
    <xf numFmtId="0" fontId="0" fillId="0" borderId="19" xfId="0" applyFont="1" applyBorder="1" applyAlignment="1">
      <alignment horizontal="center"/>
    </xf>
    <xf numFmtId="4" fontId="8" fillId="0" borderId="19" xfId="57" applyNumberFormat="1" applyFont="1" applyBorder="1" applyAlignment="1">
      <alignment horizontal="right"/>
      <protection/>
    </xf>
    <xf numFmtId="4" fontId="0" fillId="0" borderId="19" xfId="57" applyNumberFormat="1" applyFont="1" applyBorder="1" applyAlignment="1">
      <alignment horizontal="right"/>
      <protection/>
    </xf>
    <xf numFmtId="4" fontId="0" fillId="0" borderId="19" xfId="57" applyNumberFormat="1" applyFont="1" applyBorder="1">
      <alignment/>
      <protection/>
    </xf>
    <xf numFmtId="10" fontId="0" fillId="0" borderId="19" xfId="57" applyNumberFormat="1" applyFont="1" applyBorder="1" applyAlignment="1">
      <alignment horizontal="center"/>
      <protection/>
    </xf>
    <xf numFmtId="1" fontId="0" fillId="0" borderId="15" xfId="56" applyNumberFormat="1" applyBorder="1" applyAlignment="1">
      <alignment horizontal="center" vertical="center" wrapText="1"/>
      <protection/>
    </xf>
    <xf numFmtId="2" fontId="8" fillId="0" borderId="14" xfId="57" applyNumberFormat="1" applyFont="1" applyBorder="1">
      <alignment/>
      <protection/>
    </xf>
    <xf numFmtId="10" fontId="0" fillId="0" borderId="17" xfId="57" applyNumberFormat="1" applyFont="1" applyFill="1" applyBorder="1">
      <alignment/>
      <protection/>
    </xf>
    <xf numFmtId="0" fontId="0" fillId="0" borderId="14" xfId="57" applyFont="1" applyBorder="1" applyAlignment="1">
      <alignment horizontal="left" indent="1"/>
      <protection/>
    </xf>
    <xf numFmtId="0" fontId="0" fillId="0" borderId="11" xfId="57" applyFont="1" applyBorder="1" applyAlignment="1">
      <alignment horizontal="left" indent="1"/>
      <protection/>
    </xf>
    <xf numFmtId="0" fontId="0" fillId="0" borderId="20" xfId="57" applyFont="1" applyBorder="1" applyAlignment="1">
      <alignment horizontal="center" vertical="center" wrapText="1"/>
      <protection/>
    </xf>
    <xf numFmtId="0" fontId="0" fillId="0" borderId="21" xfId="57" applyFont="1" applyBorder="1" applyAlignment="1">
      <alignment horizontal="center" vertical="center" wrapText="1"/>
      <protection/>
    </xf>
    <xf numFmtId="0" fontId="0" fillId="0" borderId="14" xfId="57" applyFont="1" applyBorder="1" applyAlignment="1">
      <alignment horizontal="center" vertical="center" wrapText="1"/>
      <protection/>
    </xf>
    <xf numFmtId="0" fontId="0" fillId="0" borderId="11" xfId="57" applyFont="1" applyBorder="1" applyAlignment="1">
      <alignment horizontal="center" vertical="center" wrapText="1"/>
      <protection/>
    </xf>
    <xf numFmtId="1" fontId="0" fillId="0" borderId="21" xfId="56" applyNumberFormat="1" applyBorder="1" applyAlignment="1">
      <alignment horizontal="center" vertical="center" wrapText="1"/>
      <protection/>
    </xf>
    <xf numFmtId="1" fontId="0" fillId="0" borderId="11" xfId="56" applyNumberFormat="1" applyBorder="1" applyAlignment="1">
      <alignment horizontal="center" vertical="center" wrapText="1"/>
      <protection/>
    </xf>
    <xf numFmtId="1" fontId="0" fillId="0" borderId="22" xfId="56" applyNumberFormat="1" applyBorder="1" applyAlignment="1">
      <alignment horizontal="center" vertical="center" wrapText="1"/>
      <protection/>
    </xf>
    <xf numFmtId="1" fontId="0" fillId="0" borderId="15" xfId="56" applyNumberFormat="1" applyBorder="1" applyAlignment="1">
      <alignment horizontal="center" vertical="center" wrapText="1"/>
      <protection/>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6" fillId="0" borderId="14" xfId="0" applyFont="1" applyBorder="1" applyAlignment="1">
      <alignment horizontal="left"/>
    </xf>
    <xf numFmtId="0" fontId="6" fillId="0" borderId="11" xfId="0" applyFont="1" applyBorder="1" applyAlignment="1">
      <alignment horizontal="left"/>
    </xf>
    <xf numFmtId="2" fontId="10" fillId="0" borderId="14" xfId="57" applyNumberFormat="1" applyFont="1" applyBorder="1" applyAlignment="1">
      <alignment horizontal="left"/>
      <protection/>
    </xf>
    <xf numFmtId="2" fontId="10" fillId="0" borderId="11" xfId="57" applyNumberFormat="1" applyFont="1" applyBorder="1" applyAlignment="1">
      <alignment horizontal="left"/>
      <protection/>
    </xf>
    <xf numFmtId="2" fontId="0" fillId="0" borderId="14" xfId="57" applyNumberFormat="1" applyFont="1" applyBorder="1" applyAlignment="1">
      <alignment horizontal="left"/>
      <protection/>
    </xf>
    <xf numFmtId="2" fontId="0" fillId="0" borderId="11" xfId="57" applyNumberFormat="1" applyFont="1" applyBorder="1" applyAlignment="1">
      <alignment horizontal="left"/>
      <protection/>
    </xf>
    <xf numFmtId="1" fontId="0" fillId="0" borderId="23" xfId="56" applyNumberFormat="1" applyBorder="1" applyAlignment="1">
      <alignment horizontal="center" vertical="center" wrapText="1"/>
      <protection/>
    </xf>
    <xf numFmtId="1" fontId="0" fillId="0" borderId="24" xfId="56" applyNumberFormat="1" applyBorder="1" applyAlignment="1">
      <alignment horizontal="center" vertical="center" wrapText="1"/>
      <protection/>
    </xf>
    <xf numFmtId="1" fontId="0" fillId="0" borderId="25" xfId="56" applyNumberFormat="1" applyBorder="1" applyAlignment="1">
      <alignment horizontal="center" vertical="center" wrapText="1"/>
      <protection/>
    </xf>
    <xf numFmtId="1" fontId="0" fillId="0" borderId="12" xfId="56" applyNumberFormat="1" applyBorder="1" applyAlignment="1">
      <alignment horizontal="center" vertical="center" wrapText="1"/>
      <protection/>
    </xf>
    <xf numFmtId="0" fontId="12" fillId="0" borderId="0" xfId="57" applyFont="1" applyAlignment="1">
      <alignment horizontal="left"/>
      <protection/>
    </xf>
    <xf numFmtId="0" fontId="12" fillId="0" borderId="0" xfId="57" applyFont="1" applyAlignment="1">
      <alignment horizontal="left" wrapText="1"/>
      <protection/>
    </xf>
    <xf numFmtId="0" fontId="0" fillId="0" borderId="0" xfId="0" applyFont="1" applyAlignment="1">
      <alignment horizontal="left" vertical="top" wrapText="1"/>
    </xf>
    <xf numFmtId="0" fontId="8" fillId="0" borderId="16" xfId="57" applyFont="1" applyBorder="1" applyAlignment="1">
      <alignment horizontal="left" wrapText="1"/>
      <protection/>
    </xf>
    <xf numFmtId="0" fontId="8" fillId="0" borderId="17" xfId="57" applyFont="1" applyBorder="1" applyAlignment="1">
      <alignment horizontal="left" wrapText="1"/>
      <protection/>
    </xf>
    <xf numFmtId="0" fontId="0" fillId="0" borderId="0" xfId="57" applyFont="1" applyAlignment="1">
      <alignment horizontal="center"/>
      <protection/>
    </xf>
    <xf numFmtId="0" fontId="18" fillId="0" borderId="0" xfId="0" applyFont="1" applyAlignment="1">
      <alignment horizontal="left" wrapText="1"/>
    </xf>
    <xf numFmtId="2" fontId="18" fillId="0" borderId="0" xfId="0" applyNumberFormat="1" applyFont="1" applyAlignment="1">
      <alignment horizontal="center"/>
    </xf>
    <xf numFmtId="0" fontId="18" fillId="0" borderId="11" xfId="0" applyFont="1" applyBorder="1" applyAlignment="1">
      <alignment horizontal="center" vertical="center"/>
    </xf>
    <xf numFmtId="0" fontId="18" fillId="0" borderId="13" xfId="0" applyFont="1" applyBorder="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mach03" xfId="56"/>
    <cellStyle name="Normal_Machete buget 99" xfId="57"/>
    <cellStyle name="Note" xfId="58"/>
    <cellStyle name="Output" xfId="59"/>
    <cellStyle name="Percent" xfId="60"/>
    <cellStyle name="Percent 2"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Financial%20Analysis%20Tool%20Generic\1_Financial%20Accounts_GenericIas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Associates%20In%20Rural\Desktop\Gaby\Baia%20Mare%20Model%20de%20analiza%20a%20creditelo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DOCUME~1\ASSOCI~1\LOCALS~1\Temp\Temporary%20Directory%201%20for%20Analiza%20Creditului%20APL.zip\Analiza%20Creditului%20APL\Romanian%20Financial%20Analysis%20Model.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cont1\AppData\Local\Temp\pid-6472\montaj_nov202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Budgeted Revenues"/>
      <sheetName val="2. Actual Revenues"/>
      <sheetName val="Buget Condensat"/>
      <sheetName val="Indicatori"/>
      <sheetName val="4. Tax Liability - Select Taxes"/>
      <sheetName val="5. Tax Collection - Select Tax"/>
      <sheetName val="6. Taxpayer Collection %"/>
      <sheetName val="7. Budgeted Expenditures"/>
      <sheetName val="8. Actual Expenditures"/>
      <sheetName val="10. Municipal Accounts Payable"/>
      <sheetName val="11. Contingent Muni. Liability"/>
      <sheetName val="12. Financial Accounts Summary"/>
      <sheetName val="13. Summary Tables 1"/>
      <sheetName val="14. Summary Tables 2"/>
      <sheetName val="15. Summary Charts"/>
      <sheetName val="16. Population Projec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ţiuni"/>
      <sheetName val="Ipoteze"/>
      <sheetName val="Buget Constant"/>
      <sheetName val="Buget Condensat"/>
      <sheetName val="Buget Nominal"/>
      <sheetName val="Previziuni"/>
      <sheetName val="Indicatori"/>
      <sheetName val="Indicatori_grafice"/>
      <sheetName val="Datorii din credit"/>
    </sheetNames>
    <sheetDataSet>
      <sheetData sheetId="3">
        <row r="76">
          <cell r="F76">
            <v>33011967</v>
          </cell>
          <cell r="I76">
            <v>121919094</v>
          </cell>
          <cell r="L76">
            <v>55844696</v>
          </cell>
          <cell r="M76">
            <v>225587862</v>
          </cell>
          <cell r="N76">
            <v>197456000</v>
          </cell>
          <cell r="O76">
            <v>0</v>
          </cell>
          <cell r="P76">
            <v>0</v>
          </cell>
          <cell r="Q76">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 1"/>
      <sheetName val="Sheet 2"/>
      <sheetName val="Sheet 3"/>
      <sheetName val="Sheet 4"/>
      <sheetName val="Sheet 5"/>
      <sheetName val="Date"/>
      <sheetName val="&quot;Cash Flow&quot;"/>
      <sheetName val="Bilant"/>
      <sheetName val="PIC"/>
      <sheetName val="Previziuni"/>
      <sheetName val="Ipoteze"/>
      <sheetName val="Tendinte"/>
      <sheetName val="Definitii"/>
    </sheetNames>
    <sheetDataSet>
      <sheetData sheetId="6">
        <row r="36">
          <cell r="C36">
            <v>0</v>
          </cell>
          <cell r="D36">
            <v>0</v>
          </cell>
          <cell r="E36">
            <v>0</v>
          </cell>
          <cell r="F36">
            <v>1491919769.315124</v>
          </cell>
          <cell r="G36" t="e">
            <v>#REF!</v>
          </cell>
          <cell r="H36">
            <v>0</v>
          </cell>
          <cell r="I36">
            <v>2125020550.5480003</v>
          </cell>
          <cell r="J36" t="e">
            <v>#REF!</v>
          </cell>
          <cell r="K36">
            <v>0</v>
          </cell>
          <cell r="L36">
            <v>0</v>
          </cell>
          <cell r="M36" t="e">
            <v>#REF!</v>
          </cell>
          <cell r="N36">
            <v>-719965851</v>
          </cell>
          <cell r="O36">
            <v>-476047688.9655172</v>
          </cell>
          <cell r="P36">
            <v>0</v>
          </cell>
          <cell r="Q36">
            <v>0</v>
          </cell>
          <cell r="R36">
            <v>61958985.51724138</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uget scurt"/>
      <sheetName val="Indicatori"/>
      <sheetName val="Anexa 1.3"/>
      <sheetName val="anexa 1.4"/>
      <sheetName val="Anexa 1.3cuimprumut"/>
      <sheetName val="anexa 1.4cuimprumut"/>
      <sheetName val="outstanding"/>
      <sheetName val="ImprumutTrez"/>
      <sheetName val="credit50mil"/>
      <sheetName val="BCR2020"/>
      <sheetName val="MFP2021"/>
      <sheetName val="MFP2018"/>
      <sheetName val="CEC2018"/>
      <sheetName val="CECrefin2018"/>
      <sheetName val="Credit CEC2015 - 10,08 mil."/>
      <sheetName val="credit CEC 2011"/>
      <sheetName val="BCRsiKFW"/>
      <sheetName val="Deutsche Bank"/>
      <sheetName val="Grad pentru raport"/>
    </sheetNames>
    <sheetDataSet>
      <sheetData sheetId="0">
        <row r="83">
          <cell r="H83">
            <v>185993491</v>
          </cell>
          <cell r="I83">
            <v>218199390</v>
          </cell>
          <cell r="J83">
            <v>242904029</v>
          </cell>
        </row>
      </sheetData>
      <sheetData sheetId="3">
        <row r="63">
          <cell r="B63" t="str">
            <v>** cursul de schimb utilizat pentru conversia sumelor este de 1 euro = 4,9290 lei, publicat de BNR in data de 02.05.2023</v>
          </cell>
        </row>
      </sheetData>
      <sheetData sheetId="8">
        <row r="2">
          <cell r="P2">
            <v>0</v>
          </cell>
          <cell r="Q2">
            <v>0</v>
          </cell>
          <cell r="R2">
            <v>0</v>
          </cell>
          <cell r="S2">
            <v>6249.999999999999</v>
          </cell>
          <cell r="T2">
            <v>6249.999999999999</v>
          </cell>
          <cell r="U2">
            <v>6249.999999999999</v>
          </cell>
          <cell r="V2">
            <v>6249.999999999999</v>
          </cell>
          <cell r="W2">
            <v>6249.999999999999</v>
          </cell>
          <cell r="X2">
            <v>6249.999999999999</v>
          </cell>
          <cell r="Y2">
            <v>6249.999999999999</v>
          </cell>
          <cell r="Z2">
            <v>6249.999999999999</v>
          </cell>
        </row>
        <row r="3">
          <cell r="P3">
            <v>0</v>
          </cell>
          <cell r="Q3">
            <v>1690</v>
          </cell>
          <cell r="R3">
            <v>3703.9166666666665</v>
          </cell>
          <cell r="S3">
            <v>3982.942708333332</v>
          </cell>
          <cell r="T3">
            <v>3454.8177083333303</v>
          </cell>
          <cell r="U3">
            <v>2926.6927083333276</v>
          </cell>
          <cell r="V3">
            <v>2398.567708333328</v>
          </cell>
          <cell r="W3">
            <v>1870.4427083333294</v>
          </cell>
          <cell r="X3">
            <v>1342.3177083333303</v>
          </cell>
          <cell r="Y3">
            <v>814.1927083333295</v>
          </cell>
          <cell r="Z3">
            <v>286.0677083333295</v>
          </cell>
        </row>
        <row r="4">
          <cell r="P4">
            <v>150</v>
          </cell>
        </row>
      </sheetData>
      <sheetData sheetId="9">
        <row r="3">
          <cell r="N3">
            <v>0</v>
          </cell>
          <cell r="O3">
            <v>1662.924</v>
          </cell>
          <cell r="P3">
            <v>2217.230912826087</v>
          </cell>
          <cell r="Q3">
            <v>2217.230550434783</v>
          </cell>
          <cell r="R3">
            <v>2217.230550434783</v>
          </cell>
          <cell r="S3">
            <v>2217.230550434783</v>
          </cell>
          <cell r="T3">
            <v>2217.230550434783</v>
          </cell>
          <cell r="U3">
            <v>2217.230550434783</v>
          </cell>
          <cell r="V3">
            <v>2217.230550434783</v>
          </cell>
          <cell r="W3">
            <v>2217.230550434783</v>
          </cell>
          <cell r="X3">
            <v>2217.230550434783</v>
          </cell>
          <cell r="Y3">
            <v>2217.230550434783</v>
          </cell>
          <cell r="Z3">
            <v>2217.230550434783</v>
          </cell>
          <cell r="AA3">
            <v>1662.9229128260868</v>
          </cell>
        </row>
        <row r="4">
          <cell r="N4">
            <v>683.64568</v>
          </cell>
          <cell r="O4">
            <v>1749.0117908213501</v>
          </cell>
          <cell r="P4">
            <v>2133.00946613561</v>
          </cell>
          <cell r="Q4">
            <v>2628.4450571638868</v>
          </cell>
          <cell r="R4">
            <v>2375.0925924210815</v>
          </cell>
          <cell r="S4">
            <v>2121.740127678276</v>
          </cell>
          <cell r="T4">
            <v>1873.5935354986786</v>
          </cell>
          <cell r="U4">
            <v>1615.035198192665</v>
          </cell>
          <cell r="V4">
            <v>1361.6827334498591</v>
          </cell>
          <cell r="W4">
            <v>1108.3302687070532</v>
          </cell>
          <cell r="X4">
            <v>857.4072111604117</v>
          </cell>
          <cell r="Y4">
            <v>601.6253392214423</v>
          </cell>
          <cell r="Z4">
            <v>348.2728744786367</v>
          </cell>
          <cell r="AA4">
            <v>94.92040973583133</v>
          </cell>
        </row>
        <row r="5">
          <cell r="N5">
            <v>0</v>
          </cell>
          <cell r="O5">
            <v>45.84544</v>
          </cell>
          <cell r="P5">
            <v>0</v>
          </cell>
          <cell r="Q5">
            <v>0</v>
          </cell>
          <cell r="R5">
            <v>0</v>
          </cell>
          <cell r="S5">
            <v>0</v>
          </cell>
          <cell r="T5">
            <v>0</v>
          </cell>
          <cell r="U5">
            <v>0</v>
          </cell>
          <cell r="V5">
            <v>0</v>
          </cell>
          <cell r="W5">
            <v>0</v>
          </cell>
          <cell r="X5">
            <v>0</v>
          </cell>
          <cell r="Y5">
            <v>0</v>
          </cell>
          <cell r="Z5">
            <v>0</v>
          </cell>
          <cell r="AA5">
            <v>0</v>
          </cell>
        </row>
      </sheetData>
      <sheetData sheetId="10">
        <row r="3">
          <cell r="M3">
            <v>6000</v>
          </cell>
          <cell r="N3">
            <v>6000</v>
          </cell>
          <cell r="O3">
            <v>6000</v>
          </cell>
          <cell r="P3">
            <v>6000</v>
          </cell>
          <cell r="Q3">
            <v>4500</v>
          </cell>
        </row>
        <row r="4">
          <cell r="M4">
            <v>824.8583466666666</v>
          </cell>
          <cell r="N4">
            <v>637.825</v>
          </cell>
          <cell r="O4">
            <v>447.3041666666667</v>
          </cell>
          <cell r="P4">
            <v>258.7208333333333</v>
          </cell>
          <cell r="Q4">
            <v>70.1375</v>
          </cell>
        </row>
        <row r="5">
          <cell r="M5">
            <v>0</v>
          </cell>
          <cell r="N5">
            <v>0</v>
          </cell>
          <cell r="O5">
            <v>0</v>
          </cell>
          <cell r="P5">
            <v>0</v>
          </cell>
          <cell r="Q5">
            <v>0</v>
          </cell>
        </row>
      </sheetData>
      <sheetData sheetId="11">
        <row r="3">
          <cell r="P3">
            <v>2000.0000400000001</v>
          </cell>
          <cell r="Q3">
            <v>1999.9998400000002</v>
          </cell>
          <cell r="R3">
            <v>500.00001000000003</v>
          </cell>
        </row>
        <row r="4">
          <cell r="P4">
            <v>202.00124810020006</v>
          </cell>
          <cell r="Q4">
            <v>94.98999321500014</v>
          </cell>
          <cell r="R4">
            <v>6.637500132750045</v>
          </cell>
        </row>
        <row r="5">
          <cell r="P5">
            <v>0</v>
          </cell>
          <cell r="Q5">
            <v>0</v>
          </cell>
          <cell r="R5">
            <v>0</v>
          </cell>
        </row>
      </sheetData>
      <sheetData sheetId="12">
        <row r="3">
          <cell r="R3">
            <v>3323.36896</v>
          </cell>
          <cell r="S3">
            <v>3323.36896</v>
          </cell>
          <cell r="T3">
            <v>3323.36896</v>
          </cell>
          <cell r="U3">
            <v>3323.36896</v>
          </cell>
          <cell r="V3">
            <v>3323.36896</v>
          </cell>
          <cell r="W3">
            <v>3323.36896</v>
          </cell>
          <cell r="X3">
            <v>3323.36875</v>
          </cell>
        </row>
        <row r="4">
          <cell r="R4">
            <v>1111.96693</v>
          </cell>
          <cell r="S4">
            <v>1488.7404985787784</v>
          </cell>
          <cell r="T4">
            <v>1151.521942058829</v>
          </cell>
          <cell r="U4">
            <v>899.956066831954</v>
          </cell>
          <cell r="V4">
            <v>651.621937086176</v>
          </cell>
          <cell r="W4">
            <v>403.2878073403982</v>
          </cell>
          <cell r="X4">
            <v>155.4639531606954</v>
          </cell>
        </row>
        <row r="5">
          <cell r="R5">
            <v>99.07441</v>
          </cell>
          <cell r="S5">
            <v>84.12121288750004</v>
          </cell>
          <cell r="T5">
            <v>69.16761553500008</v>
          </cell>
          <cell r="U5">
            <v>54.21245521500007</v>
          </cell>
          <cell r="V5">
            <v>39.25729489500006</v>
          </cell>
          <cell r="W5">
            <v>24.30213457500006</v>
          </cell>
          <cell r="X5">
            <v>9.346974255000058</v>
          </cell>
        </row>
      </sheetData>
      <sheetData sheetId="13">
        <row r="3">
          <cell r="S3">
            <v>3071050.44</v>
          </cell>
          <cell r="T3">
            <v>3071050.44</v>
          </cell>
          <cell r="U3">
            <v>3071050.44</v>
          </cell>
          <cell r="V3">
            <v>3071050.44</v>
          </cell>
          <cell r="W3">
            <v>3071050.44</v>
          </cell>
          <cell r="X3">
            <v>3071050.44</v>
          </cell>
          <cell r="Y3">
            <v>3071050.44</v>
          </cell>
          <cell r="Z3">
            <v>767762.52</v>
          </cell>
        </row>
        <row r="4">
          <cell r="S4">
            <v>978942.96</v>
          </cell>
          <cell r="T4">
            <v>1379435.6565930673</v>
          </cell>
          <cell r="U4">
            <v>1071400.7728394677</v>
          </cell>
          <cell r="V4">
            <v>849193.2121317346</v>
          </cell>
          <cell r="W4">
            <v>629988.456281068</v>
          </cell>
          <cell r="X4">
            <v>410783.7004304013</v>
          </cell>
          <cell r="Y4">
            <v>192179.50553706798</v>
          </cell>
          <cell r="Z4">
            <v>13812.900804267001</v>
          </cell>
        </row>
        <row r="5">
          <cell r="S5">
            <v>0</v>
          </cell>
          <cell r="T5">
            <v>0</v>
          </cell>
          <cell r="U5">
            <v>0</v>
          </cell>
          <cell r="V5">
            <v>0</v>
          </cell>
          <cell r="W5">
            <v>0</v>
          </cell>
          <cell r="X5">
            <v>0</v>
          </cell>
          <cell r="Y5">
            <v>0</v>
          </cell>
          <cell r="Z5">
            <v>0</v>
          </cell>
        </row>
      </sheetData>
      <sheetData sheetId="14">
        <row r="3">
          <cell r="L3">
            <v>0</v>
          </cell>
          <cell r="M3">
            <v>0</v>
          </cell>
          <cell r="N3">
            <v>883.57568</v>
          </cell>
          <cell r="O3">
            <v>1116.8566899999998</v>
          </cell>
          <cell r="P3">
            <v>1347.76804</v>
          </cell>
          <cell r="Q3">
            <v>1347.76804</v>
          </cell>
          <cell r="R3">
            <v>1347.76804</v>
          </cell>
          <cell r="S3">
            <v>1347.76804</v>
          </cell>
          <cell r="T3">
            <v>1347.76804</v>
          </cell>
          <cell r="U3">
            <v>1347.768</v>
          </cell>
        </row>
        <row r="4">
          <cell r="L4">
            <v>0</v>
          </cell>
          <cell r="M4">
            <v>40.101169999999996</v>
          </cell>
          <cell r="N4">
            <v>257.47634999999997</v>
          </cell>
          <cell r="O4">
            <v>261.27687</v>
          </cell>
          <cell r="P4">
            <v>326.02209000000005</v>
          </cell>
          <cell r="Q4">
            <v>210.8338</v>
          </cell>
          <cell r="R4">
            <v>281.74874</v>
          </cell>
          <cell r="S4">
            <v>306.4899249362502</v>
          </cell>
          <cell r="T4">
            <v>174.11478048750038</v>
          </cell>
          <cell r="U4">
            <v>66.9672213075004</v>
          </cell>
        </row>
        <row r="5">
          <cell r="L5">
            <v>65.57103</v>
          </cell>
          <cell r="M5">
            <v>0</v>
          </cell>
          <cell r="N5">
            <v>2</v>
          </cell>
          <cell r="O5">
            <v>2.2</v>
          </cell>
          <cell r="P5">
            <v>0.6</v>
          </cell>
          <cell r="Q5">
            <v>0</v>
          </cell>
          <cell r="R5">
            <v>0</v>
          </cell>
          <cell r="S5">
            <v>0</v>
          </cell>
          <cell r="T5">
            <v>0</v>
          </cell>
          <cell r="U5">
            <v>0</v>
          </cell>
        </row>
        <row r="7">
          <cell r="H7">
            <v>45128</v>
          </cell>
        </row>
      </sheetData>
      <sheetData sheetId="15">
        <row r="17">
          <cell r="Y17">
            <v>171.48338400000003</v>
          </cell>
          <cell r="Z17">
            <v>171.48338400000003</v>
          </cell>
          <cell r="AA17">
            <v>171.48338400000003</v>
          </cell>
          <cell r="AB17">
            <v>171.48338400000003</v>
          </cell>
          <cell r="AC17">
            <v>171.48338400000003</v>
          </cell>
          <cell r="AD17">
            <v>171.48338400000003</v>
          </cell>
          <cell r="AE17">
            <v>171.48338400000003</v>
          </cell>
          <cell r="AF17">
            <v>171.48338400000003</v>
          </cell>
          <cell r="AG17">
            <v>171.48338400000003</v>
          </cell>
          <cell r="AH17">
            <v>171.48338400000003</v>
          </cell>
          <cell r="AI17">
            <v>171.48338400000003</v>
          </cell>
          <cell r="AJ17">
            <v>171.48338400000003</v>
          </cell>
          <cell r="AK17">
            <v>171.48338400000003</v>
          </cell>
          <cell r="AL17">
            <v>171.48338400000003</v>
          </cell>
          <cell r="AM17">
            <v>171.48338400000003</v>
          </cell>
          <cell r="AN17">
            <v>128.61250800000002</v>
          </cell>
        </row>
        <row r="18">
          <cell r="Y18">
            <v>313.37439</v>
          </cell>
          <cell r="Z18">
            <v>314.19917999999996</v>
          </cell>
          <cell r="AA18">
            <v>477.31844</v>
          </cell>
          <cell r="AB18">
            <v>498.8274</v>
          </cell>
          <cell r="AC18">
            <v>397.73052</v>
          </cell>
          <cell r="AD18">
            <v>291.27871000000005</v>
          </cell>
          <cell r="AE18">
            <v>568.97237</v>
          </cell>
          <cell r="AF18">
            <v>596.0147853162492</v>
          </cell>
          <cell r="AG18">
            <v>502.7142467774983</v>
          </cell>
          <cell r="AH18">
            <v>434.54960163749826</v>
          </cell>
          <cell r="AI18">
            <v>366.384956497498</v>
          </cell>
          <cell r="AJ18">
            <v>298.220311357498</v>
          </cell>
          <cell r="AK18">
            <v>230.05566621749801</v>
          </cell>
          <cell r="AL18">
            <v>161.891021077498</v>
          </cell>
          <cell r="AM18">
            <v>93.72637593749803</v>
          </cell>
          <cell r="AN18">
            <v>25.561733579998513</v>
          </cell>
        </row>
        <row r="19">
          <cell r="Y19">
            <v>52.93692</v>
          </cell>
          <cell r="Z19">
            <v>50.41611</v>
          </cell>
          <cell r="AA19">
            <v>47.05504</v>
          </cell>
          <cell r="AB19">
            <v>42.853699999999996</v>
          </cell>
          <cell r="AC19">
            <v>40.092620000000004</v>
          </cell>
          <cell r="AD19">
            <v>36.131550000000004</v>
          </cell>
          <cell r="AE19">
            <v>32.77047</v>
          </cell>
          <cell r="AF19">
            <v>30.24967</v>
          </cell>
          <cell r="AG19">
            <v>22.507193729999944</v>
          </cell>
          <cell r="AH19">
            <v>19.934942969999938</v>
          </cell>
          <cell r="AI19">
            <v>17.362692209999935</v>
          </cell>
          <cell r="AJ19">
            <v>14.790441449999928</v>
          </cell>
          <cell r="AK19">
            <v>12.218190689999926</v>
          </cell>
          <cell r="AL19">
            <v>9.645939929999924</v>
          </cell>
          <cell r="AM19">
            <v>7.073689169999924</v>
          </cell>
          <cell r="AN19">
            <v>4.501438409999925</v>
          </cell>
        </row>
      </sheetData>
      <sheetData sheetId="16">
        <row r="3">
          <cell r="AB3">
            <v>333.336</v>
          </cell>
          <cell r="AC3">
            <v>333.336</v>
          </cell>
          <cell r="AD3">
            <v>333.336</v>
          </cell>
          <cell r="AE3">
            <v>333.336</v>
          </cell>
          <cell r="AF3">
            <v>333.336</v>
          </cell>
          <cell r="AG3">
            <v>333.336</v>
          </cell>
          <cell r="AH3">
            <v>333.336</v>
          </cell>
          <cell r="AI3">
            <v>333.336</v>
          </cell>
          <cell r="AJ3">
            <v>333.336</v>
          </cell>
          <cell r="AK3">
            <v>333.336</v>
          </cell>
          <cell r="AL3">
            <v>305.558</v>
          </cell>
        </row>
        <row r="4">
          <cell r="AB4">
            <v>60.423159999999996</v>
          </cell>
          <cell r="AC4">
            <v>51.548620400000004</v>
          </cell>
          <cell r="AD4">
            <v>77.38673020000007</v>
          </cell>
          <cell r="AE4">
            <v>68.36860250000014</v>
          </cell>
          <cell r="AF4">
            <v>59.2018625000002</v>
          </cell>
          <cell r="AG4">
            <v>50.03512250000022</v>
          </cell>
          <cell r="AH4">
            <v>72.19384000000001</v>
          </cell>
          <cell r="AI4">
            <v>84.35647150000023</v>
          </cell>
          <cell r="AJ4">
            <v>57.68935040000052</v>
          </cell>
          <cell r="AK4">
            <v>34.22249600000051</v>
          </cell>
          <cell r="AL4">
            <v>10.755641600000455</v>
          </cell>
        </row>
        <row r="5">
          <cell r="AB5">
            <v>9.49673999999999</v>
          </cell>
          <cell r="AC5">
            <v>8.663399999999998</v>
          </cell>
          <cell r="AD5">
            <v>7.830060000000003</v>
          </cell>
          <cell r="AE5">
            <v>7.15672000000001</v>
          </cell>
          <cell r="AF5">
            <v>6.383380000000016</v>
          </cell>
          <cell r="AG5">
            <v>5.5500400000000205</v>
          </cell>
          <cell r="AH5">
            <v>0.6</v>
          </cell>
          <cell r="AI5">
            <v>8.583360000000017</v>
          </cell>
          <cell r="AJ5">
            <v>2.830020000000019</v>
          </cell>
          <cell r="AK5">
            <v>1.9966800000000184</v>
          </cell>
          <cell r="AL5">
            <v>0.33000000000000007</v>
          </cell>
        </row>
        <row r="303">
          <cell r="L303">
            <v>2202.87977</v>
          </cell>
          <cell r="M303">
            <v>2202.87977</v>
          </cell>
          <cell r="N303">
            <v>2202.87977</v>
          </cell>
          <cell r="O303">
            <v>2202.87977</v>
          </cell>
          <cell r="P303">
            <v>2202.87977</v>
          </cell>
          <cell r="Q303">
            <v>2202.87977</v>
          </cell>
          <cell r="R303">
            <v>2202.87977</v>
          </cell>
          <cell r="S303">
            <v>2202.87977</v>
          </cell>
          <cell r="T303">
            <v>2202.87977</v>
          </cell>
          <cell r="U303">
            <v>2202.87977</v>
          </cell>
          <cell r="V303">
            <v>2202.87977</v>
          </cell>
          <cell r="W303">
            <v>2202.87977</v>
          </cell>
        </row>
        <row r="304">
          <cell r="L304">
            <v>913.7208676050001</v>
          </cell>
          <cell r="M304">
            <v>832.5012349290001</v>
          </cell>
          <cell r="N304">
            <v>751.2816022530002</v>
          </cell>
          <cell r="O304">
            <v>670.061969577</v>
          </cell>
          <cell r="P304">
            <v>588.842336901</v>
          </cell>
          <cell r="Q304">
            <v>507.62270422500006</v>
          </cell>
          <cell r="R304">
            <v>426.40307154900006</v>
          </cell>
          <cell r="S304">
            <v>345.18343887300006</v>
          </cell>
          <cell r="T304">
            <v>263.96380619700005</v>
          </cell>
          <cell r="U304">
            <v>182.74417352100002</v>
          </cell>
          <cell r="V304">
            <v>101.524540845</v>
          </cell>
          <cell r="W304">
            <v>20.304908168999997</v>
          </cell>
        </row>
      </sheetData>
      <sheetData sheetId="17">
        <row r="20">
          <cell r="U20">
            <v>2612.0551772</v>
          </cell>
          <cell r="V20">
            <v>2612.0551772</v>
          </cell>
          <cell r="W20">
            <v>2612.0551772</v>
          </cell>
          <cell r="X20">
            <v>2612.0551772</v>
          </cell>
          <cell r="Y20">
            <v>2612.0551772</v>
          </cell>
          <cell r="Z20">
            <v>2612.0551772</v>
          </cell>
          <cell r="AA20">
            <v>2612.0551772</v>
          </cell>
          <cell r="AB20">
            <v>2612.0551772</v>
          </cell>
          <cell r="AC20">
            <v>2612.0551772</v>
          </cell>
        </row>
        <row r="21">
          <cell r="U21">
            <v>1451.094603003744</v>
          </cell>
          <cell r="V21">
            <v>1285.255219803316</v>
          </cell>
          <cell r="W21">
            <v>1119.4158366028878</v>
          </cell>
          <cell r="X21">
            <v>953.5764534024597</v>
          </cell>
          <cell r="Y21">
            <v>787.7370702020319</v>
          </cell>
          <cell r="Z21">
            <v>621.8976870016039</v>
          </cell>
          <cell r="AA21">
            <v>456.05830380117584</v>
          </cell>
          <cell r="AB21">
            <v>290.2189206007479</v>
          </cell>
          <cell r="AC21">
            <v>124.37953740031983</v>
          </cell>
        </row>
        <row r="22">
          <cell r="U22">
            <v>0</v>
          </cell>
          <cell r="V22">
            <v>0</v>
          </cell>
          <cell r="W22">
            <v>0</v>
          </cell>
          <cell r="X22">
            <v>0</v>
          </cell>
          <cell r="Y22">
            <v>0</v>
          </cell>
          <cell r="Z22">
            <v>0</v>
          </cell>
          <cell r="AA22">
            <v>0</v>
          </cell>
          <cell r="AB22">
            <v>0</v>
          </cell>
          <cell r="AC2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X54"/>
  <sheetViews>
    <sheetView tabSelected="1" view="pageBreakPreview" zoomScaleSheetLayoutView="100" zoomScalePageLayoutView="0" workbookViewId="0" topLeftCell="A1">
      <selection activeCell="R20" sqref="R20:U20"/>
    </sheetView>
  </sheetViews>
  <sheetFormatPr defaultColWidth="9.140625" defaultRowHeight="12.75"/>
  <cols>
    <col min="1" max="1" width="12.140625" style="2" customWidth="1"/>
    <col min="2" max="2" width="8.140625" style="2" customWidth="1"/>
    <col min="3" max="3" width="50.7109375" style="2" customWidth="1"/>
    <col min="4" max="6" width="12.28125" style="2" customWidth="1"/>
    <col min="7" max="7" width="12.7109375" style="2" hidden="1" customWidth="1"/>
    <col min="8" max="8" width="12.421875" style="2" hidden="1" customWidth="1"/>
    <col min="9" max="9" width="10.8515625" style="2" customWidth="1"/>
    <col min="10" max="10" width="13.8515625" style="2" customWidth="1"/>
    <col min="11" max="24" width="10.8515625" style="2" customWidth="1"/>
    <col min="25" max="16384" width="9.140625" style="2" customWidth="1"/>
  </cols>
  <sheetData>
    <row r="1" spans="1:3" ht="12.75">
      <c r="A1" s="1" t="s">
        <v>0</v>
      </c>
      <c r="B1" s="1"/>
      <c r="C1" s="1"/>
    </row>
    <row r="2" spans="1:20" ht="12.75">
      <c r="A2" s="1" t="s">
        <v>1</v>
      </c>
      <c r="B2" s="1"/>
      <c r="C2" s="1"/>
      <c r="D2" s="1"/>
      <c r="E2" s="1"/>
      <c r="F2" s="3" t="s">
        <v>2</v>
      </c>
      <c r="G2" s="4"/>
      <c r="L2"/>
      <c r="T2" s="3" t="s">
        <v>2</v>
      </c>
    </row>
    <row r="3" spans="1:12" ht="12.75">
      <c r="A3" s="5"/>
      <c r="B3" s="6"/>
      <c r="C3" s="6"/>
      <c r="D3"/>
      <c r="E3"/>
      <c r="F3" s="6"/>
      <c r="G3" s="6"/>
      <c r="I3" s="1"/>
      <c r="J3" s="1"/>
      <c r="L3"/>
    </row>
    <row r="4" spans="1:12" ht="12.75">
      <c r="A4" s="6"/>
      <c r="B4" s="6"/>
      <c r="C4" s="6"/>
      <c r="D4" s="6"/>
      <c r="E4" s="6"/>
      <c r="F4" s="6"/>
      <c r="G4" s="6"/>
      <c r="I4" s="1"/>
      <c r="J4" s="1"/>
      <c r="L4"/>
    </row>
    <row r="5" spans="1:12" ht="12.75">
      <c r="A5" s="7"/>
      <c r="B5" s="7"/>
      <c r="C5" s="7" t="s">
        <v>3</v>
      </c>
      <c r="D5" s="7"/>
      <c r="E5" s="7"/>
      <c r="F5" s="7"/>
      <c r="G5" s="7"/>
      <c r="I5" s="1"/>
      <c r="J5" s="1"/>
      <c r="L5"/>
    </row>
    <row r="6" spans="1:12" ht="12.75">
      <c r="A6" s="7"/>
      <c r="B6" s="7"/>
      <c r="C6" s="7" t="s">
        <v>4</v>
      </c>
      <c r="D6" s="7"/>
      <c r="E6" s="7"/>
      <c r="F6" s="7"/>
      <c r="G6" s="7"/>
      <c r="I6" s="1"/>
      <c r="J6" s="1"/>
      <c r="L6"/>
    </row>
    <row r="7" spans="1:20" ht="12.75">
      <c r="A7" s="7"/>
      <c r="B7" s="7"/>
      <c r="C7" s="7" t="s">
        <v>5</v>
      </c>
      <c r="D7" s="7"/>
      <c r="E7" s="7"/>
      <c r="F7" s="7" t="s">
        <v>6</v>
      </c>
      <c r="G7" s="7"/>
      <c r="I7" s="1"/>
      <c r="J7" s="1"/>
      <c r="L7"/>
      <c r="T7" s="7" t="s">
        <v>6</v>
      </c>
    </row>
    <row r="8" spans="1:12" ht="11.25" customHeight="1" thickBot="1">
      <c r="A8" s="8"/>
      <c r="B8" s="8"/>
      <c r="C8" s="8"/>
      <c r="D8" s="9"/>
      <c r="E8" s="1"/>
      <c r="F8" s="1"/>
      <c r="G8" s="10"/>
      <c r="I8" s="1"/>
      <c r="J8" s="1"/>
      <c r="L8" s="7"/>
    </row>
    <row r="9" spans="1:24" ht="15.75" customHeight="1">
      <c r="A9" s="106" t="s">
        <v>7</v>
      </c>
      <c r="B9" s="107"/>
      <c r="C9" s="107"/>
      <c r="D9" s="110" t="s">
        <v>8</v>
      </c>
      <c r="E9" s="110" t="s">
        <v>9</v>
      </c>
      <c r="F9" s="112" t="s">
        <v>10</v>
      </c>
      <c r="G9" s="126" t="s">
        <v>11</v>
      </c>
      <c r="H9" s="129" t="s">
        <v>12</v>
      </c>
      <c r="I9" s="114" t="s">
        <v>13</v>
      </c>
      <c r="J9" s="115"/>
      <c r="K9" s="115"/>
      <c r="L9" s="115"/>
      <c r="M9" s="115"/>
      <c r="N9" s="115"/>
      <c r="O9" s="115"/>
      <c r="P9" s="115"/>
      <c r="Q9" s="115"/>
      <c r="R9" s="115"/>
      <c r="S9" s="115"/>
      <c r="T9" s="115"/>
      <c r="U9" s="115"/>
      <c r="V9" s="116"/>
      <c r="W9" s="13"/>
      <c r="X9" s="13"/>
    </row>
    <row r="10" spans="1:24" ht="12.75" customHeight="1">
      <c r="A10" s="108"/>
      <c r="B10" s="109"/>
      <c r="C10" s="109"/>
      <c r="D10" s="111"/>
      <c r="E10" s="111"/>
      <c r="F10" s="113"/>
      <c r="G10" s="127"/>
      <c r="H10" s="129"/>
      <c r="I10" s="117"/>
      <c r="J10" s="118"/>
      <c r="K10" s="118"/>
      <c r="L10" s="118"/>
      <c r="M10" s="118"/>
      <c r="N10" s="118"/>
      <c r="O10" s="118"/>
      <c r="P10" s="118"/>
      <c r="Q10" s="118"/>
      <c r="R10" s="118"/>
      <c r="S10" s="118"/>
      <c r="T10" s="118"/>
      <c r="U10" s="118"/>
      <c r="V10" s="119"/>
      <c r="W10" s="13"/>
      <c r="X10" s="13"/>
    </row>
    <row r="11" spans="1:24" ht="54" customHeight="1">
      <c r="A11" s="108"/>
      <c r="B11" s="109"/>
      <c r="C11" s="109"/>
      <c r="D11" s="111"/>
      <c r="E11" s="111"/>
      <c r="F11" s="113"/>
      <c r="G11" s="128"/>
      <c r="H11" s="129"/>
      <c r="I11" s="117"/>
      <c r="J11" s="118"/>
      <c r="K11" s="118"/>
      <c r="L11" s="118"/>
      <c r="M11" s="118"/>
      <c r="N11" s="118"/>
      <c r="O11" s="118"/>
      <c r="P11" s="118"/>
      <c r="Q11" s="118"/>
      <c r="R11" s="118"/>
      <c r="S11" s="118"/>
      <c r="T11" s="118"/>
      <c r="U11" s="118"/>
      <c r="V11" s="119"/>
      <c r="W11" s="13"/>
      <c r="X11" s="13"/>
    </row>
    <row r="12" spans="1:24" ht="35.25" customHeight="1">
      <c r="A12" s="108"/>
      <c r="B12" s="109"/>
      <c r="C12" s="109"/>
      <c r="D12" s="14">
        <v>2020</v>
      </c>
      <c r="E12" s="14">
        <v>2021</v>
      </c>
      <c r="F12" s="101">
        <v>2022</v>
      </c>
      <c r="G12" s="95">
        <v>2022</v>
      </c>
      <c r="H12" s="15">
        <v>2023</v>
      </c>
      <c r="I12" s="82">
        <v>2023</v>
      </c>
      <c r="J12" s="14">
        <v>2024</v>
      </c>
      <c r="K12" s="14">
        <v>2025</v>
      </c>
      <c r="L12" s="12">
        <v>2026</v>
      </c>
      <c r="M12" s="14">
        <v>2027</v>
      </c>
      <c r="N12" s="14">
        <v>2028</v>
      </c>
      <c r="O12" s="12">
        <v>2029</v>
      </c>
      <c r="P12" s="14">
        <v>2030</v>
      </c>
      <c r="Q12" s="14">
        <v>2031</v>
      </c>
      <c r="R12" s="12">
        <v>2032</v>
      </c>
      <c r="S12" s="14">
        <v>2033</v>
      </c>
      <c r="T12" s="14">
        <v>2034</v>
      </c>
      <c r="U12" s="12">
        <v>2035</v>
      </c>
      <c r="V12" s="83"/>
      <c r="W12" s="16"/>
      <c r="X12" s="17"/>
    </row>
    <row r="13" spans="1:24" ht="12.75">
      <c r="A13" s="108" t="s">
        <v>14</v>
      </c>
      <c r="B13" s="109"/>
      <c r="C13" s="109"/>
      <c r="D13" s="11">
        <v>1</v>
      </c>
      <c r="E13" s="11">
        <v>2</v>
      </c>
      <c r="F13" s="85">
        <v>3</v>
      </c>
      <c r="G13" s="96">
        <v>4</v>
      </c>
      <c r="H13" s="19">
        <v>5</v>
      </c>
      <c r="I13" s="84">
        <v>6</v>
      </c>
      <c r="J13" s="11">
        <v>7</v>
      </c>
      <c r="K13" s="18">
        <v>8</v>
      </c>
      <c r="L13" s="11">
        <v>9</v>
      </c>
      <c r="M13" s="18">
        <v>10</v>
      </c>
      <c r="N13" s="11">
        <v>11</v>
      </c>
      <c r="O13" s="18">
        <v>12</v>
      </c>
      <c r="P13" s="11">
        <v>13</v>
      </c>
      <c r="Q13" s="18">
        <v>14</v>
      </c>
      <c r="R13" s="11">
        <v>15</v>
      </c>
      <c r="S13" s="18">
        <v>16</v>
      </c>
      <c r="T13" s="11"/>
      <c r="U13" s="18"/>
      <c r="V13" s="85"/>
      <c r="W13" s="3"/>
      <c r="X13" s="20"/>
    </row>
    <row r="14" spans="1:24" s="24" customFormat="1" ht="21" customHeight="1">
      <c r="A14" s="120" t="s">
        <v>15</v>
      </c>
      <c r="B14" s="121"/>
      <c r="C14" s="121"/>
      <c r="D14" s="21">
        <f>'[4]Buget scurt'!H83/1000</f>
        <v>185993.491</v>
      </c>
      <c r="E14" s="21">
        <f>'[4]Buget scurt'!I83/1000</f>
        <v>218199.39</v>
      </c>
      <c r="F14" s="87">
        <f>'[4]Buget scurt'!J83/1000</f>
        <v>242904.029</v>
      </c>
      <c r="G14" s="97">
        <f>R40</f>
        <v>0</v>
      </c>
      <c r="H14" s="22"/>
      <c r="I14" s="86">
        <f>(D14+E14+F14)/3</f>
        <v>215698.97</v>
      </c>
      <c r="J14" s="21">
        <f>I14</f>
        <v>215698.97</v>
      </c>
      <c r="K14" s="21">
        <f aca="true" t="shared" si="0" ref="K14:U14">J14</f>
        <v>215698.97</v>
      </c>
      <c r="L14" s="21">
        <f t="shared" si="0"/>
        <v>215698.97</v>
      </c>
      <c r="M14" s="21">
        <f t="shared" si="0"/>
        <v>215698.97</v>
      </c>
      <c r="N14" s="21">
        <f t="shared" si="0"/>
        <v>215698.97</v>
      </c>
      <c r="O14" s="21">
        <f t="shared" si="0"/>
        <v>215698.97</v>
      </c>
      <c r="P14" s="21">
        <f t="shared" si="0"/>
        <v>215698.97</v>
      </c>
      <c r="Q14" s="21">
        <f t="shared" si="0"/>
        <v>215698.97</v>
      </c>
      <c r="R14" s="21">
        <f t="shared" si="0"/>
        <v>215698.97</v>
      </c>
      <c r="S14" s="21">
        <f t="shared" si="0"/>
        <v>215698.97</v>
      </c>
      <c r="T14" s="21">
        <f t="shared" si="0"/>
        <v>215698.97</v>
      </c>
      <c r="U14" s="21">
        <f t="shared" si="0"/>
        <v>215698.97</v>
      </c>
      <c r="V14" s="87"/>
      <c r="W14" s="23"/>
      <c r="X14" s="23"/>
    </row>
    <row r="15" spans="1:24" s="28" customFormat="1" ht="19.5" customHeight="1">
      <c r="A15" s="122" t="s">
        <v>16</v>
      </c>
      <c r="B15" s="123"/>
      <c r="C15" s="123"/>
      <c r="D15" s="25">
        <f>30%*D14</f>
        <v>55798.0473</v>
      </c>
      <c r="E15" s="25">
        <f>30%*E14</f>
        <v>65459.817</v>
      </c>
      <c r="F15" s="89">
        <f>30%*F14</f>
        <v>72871.2087</v>
      </c>
      <c r="G15" s="98">
        <f>30%*G14</f>
        <v>0</v>
      </c>
      <c r="H15" s="26"/>
      <c r="I15" s="88">
        <f>30%*I14</f>
        <v>64709.691</v>
      </c>
      <c r="J15" s="25">
        <f aca="true" t="shared" si="1" ref="J15:U15">30%*J14</f>
        <v>64709.691</v>
      </c>
      <c r="K15" s="25">
        <f t="shared" si="1"/>
        <v>64709.691</v>
      </c>
      <c r="L15" s="25">
        <f t="shared" si="1"/>
        <v>64709.691</v>
      </c>
      <c r="M15" s="25">
        <f t="shared" si="1"/>
        <v>64709.691</v>
      </c>
      <c r="N15" s="25">
        <f t="shared" si="1"/>
        <v>64709.691</v>
      </c>
      <c r="O15" s="25">
        <f t="shared" si="1"/>
        <v>64709.691</v>
      </c>
      <c r="P15" s="25">
        <f t="shared" si="1"/>
        <v>64709.691</v>
      </c>
      <c r="Q15" s="25">
        <f t="shared" si="1"/>
        <v>64709.691</v>
      </c>
      <c r="R15" s="25">
        <f t="shared" si="1"/>
        <v>64709.691</v>
      </c>
      <c r="S15" s="25">
        <f t="shared" si="1"/>
        <v>64709.691</v>
      </c>
      <c r="T15" s="25">
        <f t="shared" si="1"/>
        <v>64709.691</v>
      </c>
      <c r="U15" s="25">
        <f t="shared" si="1"/>
        <v>64709.691</v>
      </c>
      <c r="V15" s="89"/>
      <c r="W15" s="27"/>
      <c r="X15" s="27"/>
    </row>
    <row r="16" spans="1:24" s="33" customFormat="1" ht="19.5" customHeight="1">
      <c r="A16" s="102" t="s">
        <v>17</v>
      </c>
      <c r="B16" s="29"/>
      <c r="C16" s="29"/>
      <c r="D16" s="30">
        <f>D17+D18</f>
        <v>0</v>
      </c>
      <c r="E16" s="30">
        <f>E17+E18</f>
        <v>0</v>
      </c>
      <c r="F16" s="91">
        <f>F17+F18</f>
        <v>0</v>
      </c>
      <c r="G16" s="99">
        <f>G17+G18+G19</f>
        <v>0</v>
      </c>
      <c r="H16" s="31"/>
      <c r="I16" s="90">
        <f aca="true" t="shared" si="2" ref="I16:U16">I17+I18+I19</f>
        <v>31010.96807372451</v>
      </c>
      <c r="J16" s="30">
        <f t="shared" si="2"/>
        <v>30491.449391589293</v>
      </c>
      <c r="K16" s="30">
        <f t="shared" si="2"/>
        <v>31367.608141815817</v>
      </c>
      <c r="L16" s="30">
        <f t="shared" si="2"/>
        <v>33686.76167200597</v>
      </c>
      <c r="M16" s="30">
        <f t="shared" si="2"/>
        <v>27218.213107970285</v>
      </c>
      <c r="N16" s="30">
        <f t="shared" si="2"/>
        <v>23500.797139128226</v>
      </c>
      <c r="O16" s="30">
        <f t="shared" si="2"/>
        <v>16507.703320573288</v>
      </c>
      <c r="P16" s="30">
        <f t="shared" si="2"/>
        <v>14708.074155925788</v>
      </c>
      <c r="Q16" s="30">
        <f t="shared" si="2"/>
        <v>11076.554207465164</v>
      </c>
      <c r="R16" s="30">
        <f t="shared" si="2"/>
        <v>10138.830469928524</v>
      </c>
      <c r="S16" s="30">
        <f t="shared" si="2"/>
        <v>9354.923597989555</v>
      </c>
      <c r="T16" s="30">
        <f t="shared" si="2"/>
        <v>2565.5034249134196</v>
      </c>
      <c r="U16" s="30">
        <f t="shared" si="2"/>
        <v>1757.843322561918</v>
      </c>
      <c r="V16" s="91"/>
      <c r="W16" s="32"/>
      <c r="X16" s="32"/>
    </row>
    <row r="17" spans="1:24" s="33" customFormat="1" ht="16.5" customHeight="1">
      <c r="A17" s="124" t="s">
        <v>18</v>
      </c>
      <c r="B17" s="125"/>
      <c r="C17" s="125"/>
      <c r="D17" s="30"/>
      <c r="E17" s="30"/>
      <c r="F17" s="91"/>
      <c r="G17" s="99"/>
      <c r="H17" s="31"/>
      <c r="I17" s="90">
        <f>'anexa 1.4cuimprumut'!J62</f>
        <v>22724.8656112</v>
      </c>
      <c r="J17" s="30">
        <f>'anexa 1.4cuimprumut'!K62</f>
        <v>21779.172694026085</v>
      </c>
      <c r="K17" s="30">
        <f>'anexa 1.4cuimprumut'!L62</f>
        <v>21279.172281634783</v>
      </c>
      <c r="L17" s="30">
        <f>'anexa 1.4cuimprumut'!M62</f>
        <v>24653.62628163478</v>
      </c>
      <c r="M17" s="30">
        <f>'anexa 1.4cuimprumut'!N62</f>
        <v>19848.06828163478</v>
      </c>
      <c r="N17" s="30">
        <f>'anexa 1.4cuimprumut'!O62</f>
        <v>17645.188301634782</v>
      </c>
      <c r="O17" s="30">
        <f>'anexa 1.4cuimprumut'!P62</f>
        <v>12018.531631634782</v>
      </c>
      <c r="P17" s="30">
        <f>'anexa 1.4cuimprumut'!Q62</f>
        <v>11250.769111634781</v>
      </c>
      <c r="Q17" s="30">
        <f>'anexa 1.4cuimprumut'!R62</f>
        <v>8595.843058434783</v>
      </c>
      <c r="R17" s="30">
        <f>'anexa 1.4cuimprumut'!S62</f>
        <v>8467.230550434782</v>
      </c>
      <c r="S17" s="30">
        <f>'anexa 1.4cuimprumut'!T62</f>
        <v>8467.230550434782</v>
      </c>
      <c r="T17" s="30">
        <f>'anexa 1.4cuimprumut'!U62</f>
        <v>2217.230550434783</v>
      </c>
      <c r="U17" s="30">
        <f>'anexa 1.4cuimprumut'!V62</f>
        <v>1662.9229128260868</v>
      </c>
      <c r="V17" s="91"/>
      <c r="W17" s="32"/>
      <c r="X17" s="32"/>
    </row>
    <row r="18" spans="1:24" ht="16.5" customHeight="1">
      <c r="A18" s="104" t="s">
        <v>19</v>
      </c>
      <c r="B18" s="105"/>
      <c r="C18" s="105"/>
      <c r="D18" s="25"/>
      <c r="E18" s="25"/>
      <c r="F18" s="89"/>
      <c r="G18" s="99"/>
      <c r="H18" s="31"/>
      <c r="I18" s="90">
        <f>'anexa 1.4cuimprumut'!J63</f>
        <v>7967.3027796370125</v>
      </c>
      <c r="J18" s="30">
        <f>'anexa 1.4cuimprumut'!K63</f>
        <v>8617.77186829821</v>
      </c>
      <c r="K18" s="30">
        <f>'anexa 1.4cuimprumut'!L63</f>
        <v>10012.291781996035</v>
      </c>
      <c r="L18" s="30">
        <f>'anexa 1.4cuimprumut'!M63</f>
        <v>8976.185403266189</v>
      </c>
      <c r="M18" s="30">
        <f>'anexa 1.4cuimprumut'!N63</f>
        <v>7331.052250310508</v>
      </c>
      <c r="N18" s="30">
        <f>'anexa 1.4cuimprumut'!O63</f>
        <v>5834.043672548442</v>
      </c>
      <c r="O18" s="30">
        <f>'anexa 1.4cuimprumut'!P63</f>
        <v>4479.525749008506</v>
      </c>
      <c r="P18" s="30">
        <f>'anexa 1.4cuimprumut'!Q63</f>
        <v>3450.231355121007</v>
      </c>
      <c r="Q18" s="30">
        <f>'anexa 1.4cuimprumut'!R63</f>
        <v>2476.209710620382</v>
      </c>
      <c r="R18" s="30">
        <f>'anexa 1.4cuimprumut'!S63</f>
        <v>1671.5999194937413</v>
      </c>
      <c r="S18" s="30">
        <f>'anexa 1.4cuimprumut'!T63</f>
        <v>887.6930475547719</v>
      </c>
      <c r="T18" s="30">
        <f>'anexa 1.4cuimprumut'!U63</f>
        <v>348.2728744786367</v>
      </c>
      <c r="U18" s="30">
        <f>'anexa 1.4cuimprumut'!V63</f>
        <v>94.92040973583133</v>
      </c>
      <c r="V18" s="91"/>
      <c r="W18" s="32"/>
      <c r="X18" s="32"/>
    </row>
    <row r="19" spans="1:24" ht="16.5" customHeight="1">
      <c r="A19" s="104" t="s">
        <v>20</v>
      </c>
      <c r="B19" s="105"/>
      <c r="C19" s="105"/>
      <c r="D19" s="25"/>
      <c r="E19" s="25"/>
      <c r="F19" s="89"/>
      <c r="G19" s="99">
        <v>0</v>
      </c>
      <c r="H19" s="34"/>
      <c r="I19" s="90">
        <f>'anexa 1.4cuimprumut'!J64</f>
        <v>318.79968288750007</v>
      </c>
      <c r="J19" s="30">
        <f>'anexa 1.4cuimprumut'!K64</f>
        <v>94.50482926500004</v>
      </c>
      <c r="K19" s="30">
        <f>'anexa 1.4cuimprumut'!L64</f>
        <v>76.14407818500003</v>
      </c>
      <c r="L19" s="30">
        <f>'anexa 1.4cuimprumut'!M64</f>
        <v>56.94998710499999</v>
      </c>
      <c r="M19" s="30">
        <f>'anexa 1.4cuimprumut'!N64</f>
        <v>39.092576024999985</v>
      </c>
      <c r="N19" s="30">
        <f>'anexa 1.4cuimprumut'!O64</f>
        <v>21.565164944999985</v>
      </c>
      <c r="O19" s="30">
        <f>'anexa 1.4cuimprumut'!P64</f>
        <v>9.645939929999924</v>
      </c>
      <c r="P19" s="30">
        <f>'anexa 1.4cuimprumut'!Q64</f>
        <v>7.073689169999924</v>
      </c>
      <c r="Q19" s="30">
        <f>'anexa 1.4cuimprumut'!R64</f>
        <v>4.501438409999925</v>
      </c>
      <c r="R19" s="30">
        <f>'anexa 1.4cuimprumut'!S64</f>
        <v>0</v>
      </c>
      <c r="S19" s="30">
        <f>'anexa 1.4cuimprumut'!T64</f>
        <v>0</v>
      </c>
      <c r="T19" s="30">
        <f>'anexa 1.4cuimprumut'!U64</f>
        <v>0</v>
      </c>
      <c r="U19" s="30">
        <f>'anexa 1.4cuimprumut'!V64</f>
        <v>0</v>
      </c>
      <c r="V19" s="91"/>
      <c r="W19" s="32"/>
      <c r="X19" s="32"/>
    </row>
    <row r="20" spans="1:24" ht="17.25" customHeight="1" thickBot="1">
      <c r="A20" s="133" t="s">
        <v>21</v>
      </c>
      <c r="B20" s="134"/>
      <c r="C20" s="134"/>
      <c r="D20" s="93">
        <f>D16/D14</f>
        <v>0</v>
      </c>
      <c r="E20" s="93">
        <f>E16/E14</f>
        <v>0</v>
      </c>
      <c r="F20" s="94">
        <f>F16/F14</f>
        <v>0</v>
      </c>
      <c r="G20" s="100" t="s">
        <v>22</v>
      </c>
      <c r="H20" s="35"/>
      <c r="I20" s="92">
        <f aca="true" t="shared" si="3" ref="I20:U20">I16/I14</f>
        <v>0.14376966229242777</v>
      </c>
      <c r="J20" s="93">
        <f t="shared" si="3"/>
        <v>0.14136112653476876</v>
      </c>
      <c r="K20" s="93">
        <f t="shared" si="3"/>
        <v>0.1454230780138441</v>
      </c>
      <c r="L20" s="93">
        <f t="shared" si="3"/>
        <v>0.1561748842472728</v>
      </c>
      <c r="M20" s="93">
        <f t="shared" si="3"/>
        <v>0.1261861060716715</v>
      </c>
      <c r="N20" s="93">
        <f t="shared" si="3"/>
        <v>0.10895182827775314</v>
      </c>
      <c r="O20" s="93">
        <f t="shared" si="3"/>
        <v>0.07653121069874969</v>
      </c>
      <c r="P20" s="93">
        <f t="shared" si="3"/>
        <v>0.06818796657177263</v>
      </c>
      <c r="Q20" s="93">
        <f t="shared" si="3"/>
        <v>0.05135191052356515</v>
      </c>
      <c r="R20" s="103">
        <f t="shared" si="3"/>
        <v>0.047004538176183795</v>
      </c>
      <c r="S20" s="103">
        <f t="shared" si="3"/>
        <v>0.04337027477687796</v>
      </c>
      <c r="T20" s="103">
        <f t="shared" si="3"/>
        <v>0.011893906702073818</v>
      </c>
      <c r="U20" s="103">
        <f t="shared" si="3"/>
        <v>0.008149521170925935</v>
      </c>
      <c r="V20" s="94"/>
      <c r="W20" s="36"/>
      <c r="X20" s="36"/>
    </row>
    <row r="21" spans="1:24" ht="12.75">
      <c r="A21" s="37"/>
      <c r="B21" s="37"/>
      <c r="C21" s="37"/>
      <c r="D21" s="135"/>
      <c r="E21" s="135"/>
      <c r="F21" s="135"/>
      <c r="G21" s="135"/>
      <c r="H21" s="135"/>
      <c r="I21" s="1"/>
      <c r="J21" s="1"/>
      <c r="K21"/>
      <c r="L21"/>
      <c r="M21"/>
      <c r="N21"/>
      <c r="O21"/>
      <c r="P21"/>
      <c r="Q21"/>
      <c r="R21"/>
      <c r="S21"/>
      <c r="T21"/>
      <c r="U21"/>
      <c r="V21"/>
      <c r="W21"/>
      <c r="X21"/>
    </row>
    <row r="22" spans="1:24" ht="12.75">
      <c r="A22" s="130" t="s">
        <v>23</v>
      </c>
      <c r="B22" s="130"/>
      <c r="C22" s="130"/>
      <c r="D22" s="130"/>
      <c r="E22" s="130"/>
      <c r="F22" s="130"/>
      <c r="G22" s="130"/>
      <c r="H22" s="130"/>
      <c r="I22"/>
      <c r="J22"/>
      <c r="K22"/>
      <c r="L22"/>
      <c r="M22"/>
      <c r="N22"/>
      <c r="O22"/>
      <c r="P22"/>
      <c r="Q22"/>
      <c r="R22"/>
      <c r="S22"/>
      <c r="T22"/>
      <c r="U22"/>
      <c r="V22"/>
      <c r="W22"/>
      <c r="X22"/>
    </row>
    <row r="23" spans="1:24" ht="12.75">
      <c r="A23" s="130" t="s">
        <v>24</v>
      </c>
      <c r="B23" s="130"/>
      <c r="C23" s="130"/>
      <c r="D23" s="130"/>
      <c r="E23" s="130"/>
      <c r="F23" s="130"/>
      <c r="G23" s="130"/>
      <c r="H23" s="130"/>
      <c r="I23" s="36"/>
      <c r="J23" s="36"/>
      <c r="K23" s="36"/>
      <c r="L23" s="36"/>
      <c r="M23" s="36"/>
      <c r="N23" s="36"/>
      <c r="O23" s="36"/>
      <c r="P23" s="39"/>
      <c r="Q23" s="39"/>
      <c r="R23" s="39"/>
      <c r="S23"/>
      <c r="T23"/>
      <c r="U23"/>
      <c r="V23"/>
      <c r="W23"/>
      <c r="X23"/>
    </row>
    <row r="24" spans="1:24" ht="12.75">
      <c r="A24" s="130" t="s">
        <v>25</v>
      </c>
      <c r="B24" s="130"/>
      <c r="C24" s="130"/>
      <c r="D24" s="130"/>
      <c r="E24" s="130"/>
      <c r="F24" s="130"/>
      <c r="G24" s="130"/>
      <c r="H24" s="130"/>
      <c r="I24" s="40"/>
      <c r="J24" s="40"/>
      <c r="K24"/>
      <c r="L24"/>
      <c r="M24"/>
      <c r="N24"/>
      <c r="O24"/>
      <c r="P24"/>
      <c r="Q24"/>
      <c r="R24"/>
      <c r="S24"/>
      <c r="T24"/>
      <c r="U24"/>
      <c r="V24"/>
      <c r="W24"/>
      <c r="X24"/>
    </row>
    <row r="25" spans="1:24" ht="11.25" customHeight="1">
      <c r="A25" s="130" t="s">
        <v>26</v>
      </c>
      <c r="B25" s="130"/>
      <c r="C25" s="130"/>
      <c r="D25" s="130"/>
      <c r="E25" s="130"/>
      <c r="F25" s="130"/>
      <c r="G25" s="130"/>
      <c r="H25" s="130"/>
      <c r="I25"/>
      <c r="J25"/>
      <c r="K25"/>
      <c r="L25"/>
      <c r="M25"/>
      <c r="N25"/>
      <c r="O25"/>
      <c r="P25"/>
      <c r="Q25"/>
      <c r="R25"/>
      <c r="S25"/>
      <c r="T25"/>
      <c r="U25"/>
      <c r="V25"/>
      <c r="W25"/>
      <c r="X25"/>
    </row>
    <row r="26" spans="1:10" ht="21.75" customHeight="1">
      <c r="A26" s="131" t="s">
        <v>27</v>
      </c>
      <c r="B26" s="131"/>
      <c r="C26" s="131"/>
      <c r="D26" s="131"/>
      <c r="E26" s="131"/>
      <c r="F26" s="131"/>
      <c r="G26" s="131"/>
      <c r="H26" s="131"/>
      <c r="I26" s="1"/>
      <c r="J26" s="1"/>
    </row>
    <row r="27" spans="1:8" ht="25.5" customHeight="1">
      <c r="A27" s="131" t="s">
        <v>28</v>
      </c>
      <c r="B27" s="131"/>
      <c r="C27" s="131"/>
      <c r="D27" s="131"/>
      <c r="E27" s="131"/>
      <c r="F27" s="131"/>
      <c r="G27" s="131"/>
      <c r="H27" s="131"/>
    </row>
    <row r="28" spans="1:8" ht="14.25">
      <c r="A28" s="41"/>
      <c r="D28" s="38"/>
      <c r="E28" s="38"/>
      <c r="F28" s="38"/>
      <c r="G28" s="38"/>
      <c r="H28" s="38"/>
    </row>
    <row r="29" spans="1:8" ht="12.75" customHeight="1">
      <c r="A29" s="132" t="s">
        <v>29</v>
      </c>
      <c r="B29" s="132"/>
      <c r="C29" s="132"/>
      <c r="D29" s="132"/>
      <c r="E29" s="132"/>
      <c r="F29" s="132"/>
      <c r="G29" s="132"/>
      <c r="H29" s="132"/>
    </row>
    <row r="30" spans="1:8" ht="27" customHeight="1">
      <c r="A30" s="132"/>
      <c r="B30" s="132"/>
      <c r="C30" s="132"/>
      <c r="D30" s="132"/>
      <c r="E30" s="132"/>
      <c r="F30" s="132"/>
      <c r="G30" s="132"/>
      <c r="H30" s="132"/>
    </row>
    <row r="31" spans="1:19" ht="13.5" customHeight="1">
      <c r="A31" s="42"/>
      <c r="B31" s="42"/>
      <c r="C31" s="42"/>
      <c r="D31" s="42"/>
      <c r="E31" s="42"/>
      <c r="F31" s="42"/>
      <c r="G31" s="42"/>
      <c r="H31" s="43"/>
      <c r="P31"/>
      <c r="Q31"/>
      <c r="R31"/>
      <c r="S31"/>
    </row>
    <row r="32" spans="3:19" ht="12.75">
      <c r="C32" s="3" t="s">
        <v>30</v>
      </c>
      <c r="G32" s="44" t="s">
        <v>31</v>
      </c>
      <c r="H32" s="45"/>
      <c r="L32"/>
      <c r="M32"/>
      <c r="P32"/>
      <c r="Q32"/>
      <c r="R32"/>
      <c r="S32"/>
    </row>
    <row r="33" spans="3:19" ht="12.75">
      <c r="C33" s="3" t="s">
        <v>32</v>
      </c>
      <c r="E33" s="46" t="s">
        <v>33</v>
      </c>
      <c r="G33" s="47">
        <f>'[4]Credit CEC2015 - 10,08 mil.'!H7</f>
        <v>45128</v>
      </c>
      <c r="J33"/>
      <c r="K33"/>
      <c r="L33"/>
      <c r="M33"/>
      <c r="P33"/>
      <c r="Q33"/>
      <c r="R33"/>
      <c r="S33"/>
    </row>
    <row r="34" spans="3:22" ht="12.75">
      <c r="C34" s="3" t="s">
        <v>34</v>
      </c>
      <c r="D34" s="46"/>
      <c r="E34" s="46" t="s">
        <v>35</v>
      </c>
      <c r="I34"/>
      <c r="J34" s="48"/>
      <c r="K34" s="48"/>
      <c r="L34" s="48"/>
      <c r="M34" s="49"/>
      <c r="N34" s="49">
        <v>2014</v>
      </c>
      <c r="O34" s="49">
        <v>2015</v>
      </c>
      <c r="P34" s="50">
        <v>2016</v>
      </c>
      <c r="Q34" s="50">
        <v>2017</v>
      </c>
      <c r="R34" s="49" t="s">
        <v>36</v>
      </c>
      <c r="S34" s="49">
        <v>2019</v>
      </c>
      <c r="T34" s="49">
        <v>2020</v>
      </c>
      <c r="U34" s="49">
        <v>2021</v>
      </c>
      <c r="V34" s="51"/>
    </row>
    <row r="35" spans="3:21" ht="12.75">
      <c r="C35"/>
      <c r="D35"/>
      <c r="E35"/>
      <c r="J35" s="4"/>
      <c r="K35" s="4"/>
      <c r="L35" s="4"/>
      <c r="M35" s="52" t="s">
        <v>37</v>
      </c>
      <c r="N35" s="53">
        <f>221177.933</f>
        <v>221177.933</v>
      </c>
      <c r="O35" s="53">
        <v>262074.768</v>
      </c>
      <c r="P35" s="53">
        <v>239875.18</v>
      </c>
      <c r="Q35" s="53">
        <v>272259.59113</v>
      </c>
      <c r="R35" s="53"/>
      <c r="S35" s="53">
        <v>247362.141</v>
      </c>
      <c r="T35" s="53">
        <f>335283110/1000</f>
        <v>335283.11</v>
      </c>
      <c r="U35" s="51"/>
    </row>
    <row r="36" spans="3:21" ht="12.75">
      <c r="C36"/>
      <c r="D36"/>
      <c r="E36"/>
      <c r="F36"/>
      <c r="J36" s="4"/>
      <c r="K36" s="4"/>
      <c r="L36" s="4"/>
      <c r="M36" s="52" t="s">
        <v>38</v>
      </c>
      <c r="N36" s="53">
        <v>101601.64</v>
      </c>
      <c r="O36" s="53">
        <v>101489.742</v>
      </c>
      <c r="P36" s="53">
        <v>106983.31</v>
      </c>
      <c r="Q36" s="53">
        <v>123179.804</v>
      </c>
      <c r="R36" s="53"/>
      <c r="S36" s="53">
        <v>59843.121</v>
      </c>
      <c r="T36" s="53">
        <v>55474.284</v>
      </c>
      <c r="U36" s="51"/>
    </row>
    <row r="37" spans="3:21" ht="12.75">
      <c r="C37"/>
      <c r="D37"/>
      <c r="E37"/>
      <c r="F37"/>
      <c r="J37" s="4"/>
      <c r="K37" s="4"/>
      <c r="L37" s="4"/>
      <c r="M37" s="52" t="s">
        <v>39</v>
      </c>
      <c r="N37" s="53">
        <v>0</v>
      </c>
      <c r="O37" s="53">
        <v>1</v>
      </c>
      <c r="P37" s="53">
        <v>92.955</v>
      </c>
      <c r="Q37" s="53">
        <v>68.234</v>
      </c>
      <c r="R37" s="53"/>
      <c r="S37" s="51">
        <f>2.5+514.711</f>
        <v>517.211</v>
      </c>
      <c r="T37" s="53">
        <v>1621.747</v>
      </c>
      <c r="U37" s="51"/>
    </row>
    <row r="38" spans="3:21" ht="12.75">
      <c r="C38"/>
      <c r="D38"/>
      <c r="E38"/>
      <c r="F38"/>
      <c r="J38" s="4"/>
      <c r="K38" s="4"/>
      <c r="L38" s="4"/>
      <c r="M38" s="52" t="s">
        <v>40</v>
      </c>
      <c r="N38" s="53">
        <f>6161.6+446.411</f>
        <v>6608.011</v>
      </c>
      <c r="O38" s="53">
        <f>9547.573+26868.588</f>
        <v>36416.161</v>
      </c>
      <c r="P38" s="53">
        <f>3065.248+602.799</f>
        <v>3668.047</v>
      </c>
      <c r="Q38" s="53">
        <f>3549.406+2295.15277</f>
        <v>5844.55877</v>
      </c>
      <c r="R38" s="53"/>
      <c r="S38" s="51">
        <f>351.784+8803.963+1842.505</f>
        <v>10998.252</v>
      </c>
      <c r="T38" s="53">
        <f>21100.557+65.085+70738.407</f>
        <v>91904.049</v>
      </c>
      <c r="U38" s="51"/>
    </row>
    <row r="39" spans="3:21" ht="12.75">
      <c r="C39"/>
      <c r="D39"/>
      <c r="E39"/>
      <c r="F39"/>
      <c r="J39" s="4"/>
      <c r="K39" s="4"/>
      <c r="L39" s="4"/>
      <c r="M39" s="52" t="s">
        <v>41</v>
      </c>
      <c r="N39" s="53">
        <v>633.804</v>
      </c>
      <c r="O39" s="53">
        <v>444.849</v>
      </c>
      <c r="P39" s="53">
        <v>267.099</v>
      </c>
      <c r="Q39" s="53">
        <v>565.5698</v>
      </c>
      <c r="R39" s="53"/>
      <c r="S39" s="53">
        <v>460.703</v>
      </c>
      <c r="T39" s="53">
        <v>289.539</v>
      </c>
      <c r="U39" s="51"/>
    </row>
    <row r="40" spans="3:21" ht="12.75">
      <c r="C40"/>
      <c r="D40"/>
      <c r="E40"/>
      <c r="F40"/>
      <c r="J40" s="4"/>
      <c r="K40" s="4"/>
      <c r="L40" s="4"/>
      <c r="M40" s="52" t="s">
        <v>42</v>
      </c>
      <c r="N40" s="53">
        <f aca="true" t="shared" si="4" ref="N40:T40">N35-N36-N37-N38-N39</f>
        <v>112334.47799999999</v>
      </c>
      <c r="O40" s="53">
        <f t="shared" si="4"/>
        <v>123723.01600000002</v>
      </c>
      <c r="P40" s="53">
        <f t="shared" si="4"/>
        <v>128863.769</v>
      </c>
      <c r="Q40" s="53">
        <f t="shared" si="4"/>
        <v>142601.42456</v>
      </c>
      <c r="R40" s="53">
        <f t="shared" si="4"/>
        <v>0</v>
      </c>
      <c r="S40" s="53">
        <f t="shared" si="4"/>
        <v>175542.854</v>
      </c>
      <c r="T40" s="53">
        <f t="shared" si="4"/>
        <v>185993.49100000004</v>
      </c>
      <c r="U40" s="51"/>
    </row>
    <row r="41" spans="4:19" ht="15">
      <c r="D41" s="54"/>
      <c r="E41" s="54"/>
      <c r="F41" s="54"/>
      <c r="G41" s="55"/>
      <c r="H41" s="54"/>
      <c r="I41"/>
      <c r="K41"/>
      <c r="L41"/>
      <c r="M41" s="4"/>
      <c r="N41" s="56"/>
      <c r="O41" s="57"/>
      <c r="P41"/>
      <c r="Q41"/>
      <c r="R41"/>
      <c r="S41"/>
    </row>
    <row r="42" spans="10:15" ht="12.75">
      <c r="J42"/>
      <c r="K42"/>
      <c r="L42"/>
      <c r="M42"/>
      <c r="N42" s="56"/>
      <c r="O42" s="57"/>
    </row>
    <row r="43" spans="13:15" ht="12.75">
      <c r="M43" s="46"/>
      <c r="N43" s="56"/>
      <c r="O43" s="58"/>
    </row>
    <row r="44" spans="9:15" ht="12.75">
      <c r="I44" s="59"/>
      <c r="M44" s="46"/>
      <c r="N44" s="56"/>
      <c r="O44" s="4"/>
    </row>
    <row r="45" spans="9:15" ht="12.75">
      <c r="I45" s="59"/>
      <c r="M45" s="46"/>
      <c r="N45" s="56"/>
      <c r="O45" s="4"/>
    </row>
    <row r="46" spans="9:15" ht="12.75">
      <c r="I46" s="59"/>
      <c r="M46" s="46"/>
      <c r="N46" s="56"/>
      <c r="O46" s="4"/>
    </row>
    <row r="47" spans="9:15" ht="12.75">
      <c r="I47" s="59"/>
      <c r="M47" s="46"/>
      <c r="N47" s="56"/>
      <c r="O47" s="4"/>
    </row>
    <row r="48" spans="9:15" ht="12.75">
      <c r="I48" s="59"/>
      <c r="M48" s="46"/>
      <c r="N48" s="56"/>
      <c r="O48" s="4"/>
    </row>
    <row r="49" spans="9:15" ht="12.75">
      <c r="I49" s="59"/>
      <c r="M49" s="46"/>
      <c r="N49" s="56"/>
      <c r="O49" s="4"/>
    </row>
    <row r="50" spans="9:15" ht="12.75">
      <c r="I50" s="59"/>
      <c r="M50" s="46"/>
      <c r="N50" s="56"/>
      <c r="O50" s="4"/>
    </row>
    <row r="51" spans="13:15" ht="12.75">
      <c r="M51" s="46"/>
      <c r="N51" s="56"/>
      <c r="O51" s="57"/>
    </row>
    <row r="52" spans="13:15" ht="12.75">
      <c r="M52" s="46"/>
      <c r="N52" s="56"/>
      <c r="O52" s="57"/>
    </row>
    <row r="53" spans="13:15" ht="12.75">
      <c r="M53" s="46"/>
      <c r="N53" s="56"/>
      <c r="O53" s="57"/>
    </row>
    <row r="54" spans="13:15" ht="12.75">
      <c r="M54" s="46"/>
      <c r="N54" s="56"/>
      <c r="O54" s="57"/>
    </row>
  </sheetData>
  <sheetProtection/>
  <mergeCells count="22">
    <mergeCell ref="A25:H25"/>
    <mergeCell ref="A26:H26"/>
    <mergeCell ref="A27:H27"/>
    <mergeCell ref="A29:H30"/>
    <mergeCell ref="A19:C19"/>
    <mergeCell ref="A20:C20"/>
    <mergeCell ref="D21:H21"/>
    <mergeCell ref="A22:H22"/>
    <mergeCell ref="A23:H23"/>
    <mergeCell ref="A24:H24"/>
    <mergeCell ref="I9:V11"/>
    <mergeCell ref="A13:C13"/>
    <mergeCell ref="A14:C14"/>
    <mergeCell ref="A15:C15"/>
    <mergeCell ref="A17:C17"/>
    <mergeCell ref="G9:G11"/>
    <mergeCell ref="H9:H11"/>
    <mergeCell ref="A18:C18"/>
    <mergeCell ref="A9:C12"/>
    <mergeCell ref="D9:D11"/>
    <mergeCell ref="E9:E11"/>
    <mergeCell ref="F9:F11"/>
  </mergeCells>
  <printOptions/>
  <pageMargins left="0.25" right="0.25" top="0.75" bottom="0.75" header="0.3" footer="0.3"/>
  <pageSetup horizontalDpi="600" verticalDpi="600" orientation="landscape" paperSize="9" scale="88" r:id="rId1"/>
  <rowBreaks count="1" manualBreakCount="1">
    <brk id="34" max="255" man="1"/>
  </rowBreaks>
  <colBreaks count="1" manualBreakCount="1">
    <brk id="6" max="33" man="1"/>
  </colBreaks>
</worksheet>
</file>

<file path=xl/worksheets/sheet2.xml><?xml version="1.0" encoding="utf-8"?>
<worksheet xmlns="http://schemas.openxmlformats.org/spreadsheetml/2006/main" xmlns:r="http://schemas.openxmlformats.org/officeDocument/2006/relationships">
  <dimension ref="A1:BL72"/>
  <sheetViews>
    <sheetView zoomScaleSheetLayoutView="100" zoomScalePageLayoutView="0" workbookViewId="0" topLeftCell="A25">
      <selection activeCell="B52" sqref="B52"/>
    </sheetView>
  </sheetViews>
  <sheetFormatPr defaultColWidth="9.140625" defaultRowHeight="12.75"/>
  <cols>
    <col min="1" max="1" width="6.421875" style="60" bestFit="1" customWidth="1"/>
    <col min="2" max="2" width="31.00390625" style="60" customWidth="1"/>
    <col min="3" max="7" width="8.7109375" style="60" hidden="1" customWidth="1"/>
    <col min="8" max="8" width="9.8515625" style="60" hidden="1" customWidth="1"/>
    <col min="9" max="9" width="8.7109375" style="60" hidden="1" customWidth="1"/>
    <col min="10" max="18" width="8.7109375" style="60" customWidth="1"/>
    <col min="19" max="19" width="9.140625" style="60" customWidth="1"/>
    <col min="20" max="20" width="11.28125" style="60" bestFit="1" customWidth="1"/>
    <col min="21" max="16384" width="9.140625" style="60" customWidth="1"/>
  </cols>
  <sheetData>
    <row r="1" ht="12.75">
      <c r="B1" s="1" t="s">
        <v>43</v>
      </c>
    </row>
    <row r="2" spans="2:21" ht="12.75">
      <c r="B2" s="1" t="s">
        <v>44</v>
      </c>
      <c r="U2" s="60" t="s">
        <v>45</v>
      </c>
    </row>
    <row r="4" spans="1:18" ht="12">
      <c r="A4" s="61"/>
      <c r="I4" s="137" t="s">
        <v>46</v>
      </c>
      <c r="J4" s="137"/>
      <c r="K4" s="137"/>
      <c r="L4" s="137"/>
      <c r="M4" s="137"/>
      <c r="N4" s="137"/>
      <c r="O4" s="137"/>
      <c r="P4" s="137"/>
      <c r="Q4" s="137"/>
      <c r="R4" s="137"/>
    </row>
    <row r="5" spans="1:18" ht="12.75" customHeight="1">
      <c r="A5" s="61"/>
      <c r="I5" s="137" t="s">
        <v>47</v>
      </c>
      <c r="J5" s="137"/>
      <c r="K5" s="137"/>
      <c r="L5" s="137"/>
      <c r="M5" s="137"/>
      <c r="N5" s="137"/>
      <c r="O5" s="137"/>
      <c r="P5" s="137"/>
      <c r="Q5" s="137"/>
      <c r="R5" s="137"/>
    </row>
    <row r="6" spans="1:21" ht="12">
      <c r="A6" s="61"/>
      <c r="D6" s="62"/>
      <c r="L6" s="61"/>
      <c r="U6" s="61" t="s">
        <v>48</v>
      </c>
    </row>
    <row r="7" spans="1:22" s="61" customFormat="1" ht="24">
      <c r="A7" s="63" t="s">
        <v>49</v>
      </c>
      <c r="B7" s="63" t="s">
        <v>50</v>
      </c>
      <c r="C7" s="64">
        <v>2016</v>
      </c>
      <c r="D7" s="64">
        <f aca="true" t="shared" si="0" ref="D7:V7">C7+1</f>
        <v>2017</v>
      </c>
      <c r="E7" s="64">
        <f t="shared" si="0"/>
        <v>2018</v>
      </c>
      <c r="F7" s="64">
        <f t="shared" si="0"/>
        <v>2019</v>
      </c>
      <c r="G7" s="64">
        <f t="shared" si="0"/>
        <v>2020</v>
      </c>
      <c r="H7" s="64">
        <f t="shared" si="0"/>
        <v>2021</v>
      </c>
      <c r="I7" s="64">
        <f t="shared" si="0"/>
        <v>2022</v>
      </c>
      <c r="J7" s="64">
        <f t="shared" si="0"/>
        <v>2023</v>
      </c>
      <c r="K7" s="64">
        <f t="shared" si="0"/>
        <v>2024</v>
      </c>
      <c r="L7" s="64">
        <f t="shared" si="0"/>
        <v>2025</v>
      </c>
      <c r="M7" s="64">
        <f t="shared" si="0"/>
        <v>2026</v>
      </c>
      <c r="N7" s="64">
        <f t="shared" si="0"/>
        <v>2027</v>
      </c>
      <c r="O7" s="64">
        <f t="shared" si="0"/>
        <v>2028</v>
      </c>
      <c r="P7" s="64">
        <f t="shared" si="0"/>
        <v>2029</v>
      </c>
      <c r="Q7" s="64">
        <f t="shared" si="0"/>
        <v>2030</v>
      </c>
      <c r="R7" s="64">
        <f t="shared" si="0"/>
        <v>2031</v>
      </c>
      <c r="S7" s="64">
        <f t="shared" si="0"/>
        <v>2032</v>
      </c>
      <c r="T7" s="64">
        <f t="shared" si="0"/>
        <v>2033</v>
      </c>
      <c r="U7" s="64">
        <f t="shared" si="0"/>
        <v>2034</v>
      </c>
      <c r="V7" s="64">
        <f t="shared" si="0"/>
        <v>2035</v>
      </c>
    </row>
    <row r="8" spans="1:22" ht="45" customHeight="1">
      <c r="A8" s="138">
        <v>1</v>
      </c>
      <c r="B8" s="66" t="s">
        <v>51</v>
      </c>
      <c r="C8" s="67">
        <f>C9+C10+C11</f>
        <v>4123.222261604999</v>
      </c>
      <c r="D8" s="67">
        <f aca="true" t="shared" si="1" ref="D8:V8">D9+D10+D11</f>
        <v>4005.128869329</v>
      </c>
      <c r="E8" s="67">
        <f t="shared" si="1"/>
        <v>5211.623056453001</v>
      </c>
      <c r="F8" s="67">
        <f t="shared" si="1"/>
        <v>5375.3011060769995</v>
      </c>
      <c r="G8" s="67">
        <f t="shared" si="1"/>
        <v>5474.340003401</v>
      </c>
      <c r="H8" s="67">
        <f t="shared" si="1"/>
        <v>5156.9191207250005</v>
      </c>
      <c r="I8" s="67">
        <f t="shared" si="1"/>
        <v>27796.214480519608</v>
      </c>
      <c r="J8" s="67">
        <f t="shared" si="1"/>
        <v>30860.96807372451</v>
      </c>
      <c r="K8" s="67">
        <f t="shared" si="1"/>
        <v>28801.449391589293</v>
      </c>
      <c r="L8" s="67">
        <f t="shared" si="1"/>
        <v>27663.691475149153</v>
      </c>
      <c r="M8" s="67">
        <f t="shared" si="1"/>
        <v>23453.818963672635</v>
      </c>
      <c r="N8" s="67">
        <f t="shared" si="1"/>
        <v>17513.39539963696</v>
      </c>
      <c r="O8" s="67">
        <f t="shared" si="1"/>
        <v>14324.104430794898</v>
      </c>
      <c r="P8" s="67">
        <f t="shared" si="1"/>
        <v>7859.13561223996</v>
      </c>
      <c r="Q8" s="67">
        <f t="shared" si="1"/>
        <v>6587.63144759246</v>
      </c>
      <c r="R8" s="67">
        <f t="shared" si="1"/>
        <v>3484.2364991318345</v>
      </c>
      <c r="S8" s="67">
        <f t="shared" si="1"/>
        <v>3074.6377615951947</v>
      </c>
      <c r="T8" s="67">
        <f t="shared" si="1"/>
        <v>2818.8558896562254</v>
      </c>
      <c r="U8" s="67">
        <f t="shared" si="1"/>
        <v>2565.5034249134196</v>
      </c>
      <c r="V8" s="67">
        <f t="shared" si="1"/>
        <v>1757.843322561918</v>
      </c>
    </row>
    <row r="9" spans="1:22" ht="12">
      <c r="A9" s="138"/>
      <c r="B9" s="68" t="s">
        <v>52</v>
      </c>
      <c r="C9" s="67">
        <f>+C12+C16+C20+C24+C28+C32+C36</f>
        <v>2707.699154</v>
      </c>
      <c r="D9" s="67">
        <f aca="true" t="shared" si="2" ref="D9:H10">+D12+D16+D20+D24+D28+D32+D36</f>
        <v>2707.699154</v>
      </c>
      <c r="E9" s="67">
        <f t="shared" si="2"/>
        <v>3591.274834</v>
      </c>
      <c r="F9" s="67">
        <f t="shared" si="2"/>
        <v>3824.5558439999995</v>
      </c>
      <c r="G9" s="67">
        <f t="shared" si="2"/>
        <v>4055.467194</v>
      </c>
      <c r="H9" s="67">
        <f t="shared" si="2"/>
        <v>4055.467194</v>
      </c>
      <c r="I9" s="67">
        <f>+I12+I16+I20+I24+I28+I32+I36+I40+I44+I48</f>
        <v>21061.9418112</v>
      </c>
      <c r="J9" s="67">
        <f aca="true" t="shared" si="3" ref="J9:Q9">+J12+J16+J20+J24+J28+J32+J36+J40+J44+J48</f>
        <v>22724.8656112</v>
      </c>
      <c r="K9" s="67">
        <f t="shared" si="3"/>
        <v>21779.172694026085</v>
      </c>
      <c r="L9" s="67">
        <f t="shared" si="3"/>
        <v>21279.172281634783</v>
      </c>
      <c r="M9" s="67">
        <f t="shared" si="3"/>
        <v>18403.62628163478</v>
      </c>
      <c r="N9" s="67">
        <f t="shared" si="3"/>
        <v>13598.068281634783</v>
      </c>
      <c r="O9" s="67">
        <f t="shared" si="3"/>
        <v>11395.188301634782</v>
      </c>
      <c r="P9" s="67">
        <f t="shared" si="3"/>
        <v>5768.531631634783</v>
      </c>
      <c r="Q9" s="67">
        <f t="shared" si="3"/>
        <v>5000.769111634783</v>
      </c>
      <c r="R9" s="67">
        <f aca="true" t="shared" si="4" ref="R9:U10">+R12+R16+R20+R24+R28+R32+R36+R40+R44</f>
        <v>2345.843058434783</v>
      </c>
      <c r="S9" s="67">
        <f t="shared" si="4"/>
        <v>2217.230550434783</v>
      </c>
      <c r="T9" s="67">
        <f t="shared" si="4"/>
        <v>2217.230550434783</v>
      </c>
      <c r="U9" s="67">
        <f t="shared" si="4"/>
        <v>2217.230550434783</v>
      </c>
      <c r="V9" s="67">
        <f>+V12+V16+V20+V24+V28+V32+V36+V40</f>
        <v>1662.9229128260868</v>
      </c>
    </row>
    <row r="10" spans="1:22" ht="12">
      <c r="A10" s="138"/>
      <c r="B10" s="68" t="s">
        <v>53</v>
      </c>
      <c r="C10" s="67">
        <f>+C13+C17+C21+C25+C29+C33+C37</f>
        <v>1287.518417605</v>
      </c>
      <c r="D10" s="67">
        <f t="shared" si="2"/>
        <v>1238.350205329</v>
      </c>
      <c r="E10" s="67">
        <f t="shared" si="2"/>
        <v>1563.4631224530003</v>
      </c>
      <c r="F10" s="67">
        <f t="shared" si="2"/>
        <v>1498.5348420770001</v>
      </c>
      <c r="G10" s="67">
        <f t="shared" si="2"/>
        <v>1371.7968094010002</v>
      </c>
      <c r="H10" s="67">
        <f t="shared" si="2"/>
        <v>1059.7703367250003</v>
      </c>
      <c r="I10" s="67">
        <f aca="true" t="shared" si="5" ref="I10:Q11">+I13+I17+I21+I25+I29+I33+I37+I41+I45+I49</f>
        <v>6601.827789319611</v>
      </c>
      <c r="J10" s="67">
        <f t="shared" si="5"/>
        <v>7967.3027796370125</v>
      </c>
      <c r="K10" s="67">
        <f t="shared" si="5"/>
        <v>6927.77186829821</v>
      </c>
      <c r="L10" s="67">
        <f t="shared" si="5"/>
        <v>6308.375115329369</v>
      </c>
      <c r="M10" s="67">
        <f t="shared" si="5"/>
        <v>4993.242694932856</v>
      </c>
      <c r="N10" s="67">
        <f t="shared" si="5"/>
        <v>3876.2345419771777</v>
      </c>
      <c r="O10" s="67">
        <f t="shared" si="5"/>
        <v>2907.350964215116</v>
      </c>
      <c r="P10" s="67">
        <f t="shared" si="5"/>
        <v>2080.9580406751775</v>
      </c>
      <c r="Q10" s="67">
        <f t="shared" si="5"/>
        <v>1579.788646787677</v>
      </c>
      <c r="R10" s="67">
        <f t="shared" si="4"/>
        <v>1133.8920022870516</v>
      </c>
      <c r="S10" s="67">
        <f t="shared" si="4"/>
        <v>857.4072111604117</v>
      </c>
      <c r="T10" s="67">
        <f t="shared" si="4"/>
        <v>601.6253392214423</v>
      </c>
      <c r="U10" s="67">
        <f t="shared" si="4"/>
        <v>348.2728744786367</v>
      </c>
      <c r="V10" s="67">
        <f>+V13+V17+V21+V25+V29+V33+V37+V41</f>
        <v>94.92040973583133</v>
      </c>
    </row>
    <row r="11" spans="1:22" ht="12">
      <c r="A11" s="138"/>
      <c r="B11" s="68" t="s">
        <v>54</v>
      </c>
      <c r="C11" s="67">
        <f>C14+C18+C22+C26+C30+C34+C38</f>
        <v>128.00468999999998</v>
      </c>
      <c r="D11" s="67">
        <f>D14+D18+D22+D26+D30+D34+D38</f>
        <v>59.07951</v>
      </c>
      <c r="E11" s="67">
        <f>E14+E18+E22+E26+E30+E34+E38</f>
        <v>56.8851</v>
      </c>
      <c r="F11" s="67">
        <f>F14+F18+F22+F26+F30+F34+F38</f>
        <v>52.210420000000006</v>
      </c>
      <c r="G11" s="67">
        <f>G14+G18+G22+G26+G30+G34+G38</f>
        <v>47.07600000000002</v>
      </c>
      <c r="H11" s="67">
        <f>H14+H18+H22+H26+H30+H34+H38</f>
        <v>41.68159000000003</v>
      </c>
      <c r="I11" s="67">
        <f t="shared" si="5"/>
        <v>132.44488</v>
      </c>
      <c r="J11" s="67">
        <f t="shared" si="5"/>
        <v>168.79968288750007</v>
      </c>
      <c r="K11" s="67">
        <f t="shared" si="5"/>
        <v>94.50482926500004</v>
      </c>
      <c r="L11" s="67">
        <f t="shared" si="5"/>
        <v>76.14407818500003</v>
      </c>
      <c r="M11" s="67">
        <f t="shared" si="5"/>
        <v>56.94998710499999</v>
      </c>
      <c r="N11" s="67">
        <f t="shared" si="5"/>
        <v>39.092576024999985</v>
      </c>
      <c r="O11" s="67">
        <f t="shared" si="5"/>
        <v>21.565164944999985</v>
      </c>
      <c r="P11" s="67">
        <f t="shared" si="5"/>
        <v>9.645939929999924</v>
      </c>
      <c r="Q11" s="67">
        <f t="shared" si="5"/>
        <v>7.073689169999924</v>
      </c>
      <c r="R11" s="67">
        <f>R14+R18+R22+R26+R30+R34+R38+R42</f>
        <v>4.501438409999925</v>
      </c>
      <c r="S11" s="67">
        <f>S14+S18+S22+S26+S30+S34+S38+S42</f>
        <v>0</v>
      </c>
      <c r="T11" s="67">
        <f>T14+T18+T22+T26+T30+T34+T38+T42</f>
        <v>0</v>
      </c>
      <c r="U11" s="67">
        <f>U14+U18+U22+U26+U30+U34+U38+U42</f>
        <v>0</v>
      </c>
      <c r="V11" s="67">
        <f>V14+V18+V22+V26+V30+V34+V38+V42</f>
        <v>0</v>
      </c>
    </row>
    <row r="12" spans="1:22" ht="12">
      <c r="A12" s="138"/>
      <c r="B12" s="66" t="s">
        <v>55</v>
      </c>
      <c r="C12" s="69">
        <f>'[4]BCRsiKFW'!AB3</f>
        <v>333.336</v>
      </c>
      <c r="D12" s="69">
        <f>'[4]BCRsiKFW'!AC3</f>
        <v>333.336</v>
      </c>
      <c r="E12" s="69">
        <f>'[4]BCRsiKFW'!AD3</f>
        <v>333.336</v>
      </c>
      <c r="F12" s="69">
        <f>'[4]BCRsiKFW'!AE3</f>
        <v>333.336</v>
      </c>
      <c r="G12" s="69">
        <f>'[4]BCRsiKFW'!AF3</f>
        <v>333.336</v>
      </c>
      <c r="H12" s="69">
        <f>'[4]BCRsiKFW'!AG3</f>
        <v>333.336</v>
      </c>
      <c r="I12" s="69">
        <f>'[4]BCRsiKFW'!AH3</f>
        <v>333.336</v>
      </c>
      <c r="J12" s="69">
        <f>'[4]BCRsiKFW'!AI3</f>
        <v>333.336</v>
      </c>
      <c r="K12" s="69">
        <f>'[4]BCRsiKFW'!AJ3</f>
        <v>333.336</v>
      </c>
      <c r="L12" s="69">
        <f>'[4]BCRsiKFW'!AK3</f>
        <v>333.336</v>
      </c>
      <c r="M12" s="69">
        <f>'[4]BCRsiKFW'!AL3</f>
        <v>305.558</v>
      </c>
      <c r="N12" s="69"/>
      <c r="O12" s="69"/>
      <c r="P12" s="69"/>
      <c r="Q12" s="69"/>
      <c r="R12" s="69"/>
      <c r="S12" s="70"/>
      <c r="T12" s="69"/>
      <c r="U12" s="70"/>
      <c r="V12" s="70"/>
    </row>
    <row r="13" spans="1:22" ht="12">
      <c r="A13" s="138"/>
      <c r="B13" s="66" t="s">
        <v>56</v>
      </c>
      <c r="C13" s="71">
        <f>'[4]BCRsiKFW'!AB4</f>
        <v>60.423159999999996</v>
      </c>
      <c r="D13" s="71">
        <f>'[4]BCRsiKFW'!AC4</f>
        <v>51.548620400000004</v>
      </c>
      <c r="E13" s="71">
        <f>'[4]BCRsiKFW'!AD4</f>
        <v>77.38673020000007</v>
      </c>
      <c r="F13" s="71">
        <f>'[4]BCRsiKFW'!AE4</f>
        <v>68.36860250000014</v>
      </c>
      <c r="G13" s="71">
        <f>'[4]BCRsiKFW'!AF4</f>
        <v>59.2018625000002</v>
      </c>
      <c r="H13" s="71">
        <f>'[4]BCRsiKFW'!AG4</f>
        <v>50.03512250000022</v>
      </c>
      <c r="I13" s="71">
        <f>'[4]BCRsiKFW'!AH4</f>
        <v>72.19384000000001</v>
      </c>
      <c r="J13" s="71">
        <f>'[4]BCRsiKFW'!AI4</f>
        <v>84.35647150000023</v>
      </c>
      <c r="K13" s="71">
        <f>'[4]BCRsiKFW'!AJ4</f>
        <v>57.68935040000052</v>
      </c>
      <c r="L13" s="71">
        <f>'[4]BCRsiKFW'!AK4</f>
        <v>34.22249600000051</v>
      </c>
      <c r="M13" s="71">
        <f>'[4]BCRsiKFW'!AL4</f>
        <v>10.755641600000455</v>
      </c>
      <c r="N13" s="71"/>
      <c r="O13" s="71"/>
      <c r="P13" s="71"/>
      <c r="Q13" s="71"/>
      <c r="R13" s="71"/>
      <c r="S13" s="70"/>
      <c r="T13" s="69"/>
      <c r="U13" s="70"/>
      <c r="V13" s="70"/>
    </row>
    <row r="14" spans="1:22" ht="12">
      <c r="A14" s="138"/>
      <c r="B14" s="66" t="s">
        <v>57</v>
      </c>
      <c r="C14" s="71">
        <f>'[4]BCRsiKFW'!AB5</f>
        <v>9.49673999999999</v>
      </c>
      <c r="D14" s="71">
        <f>'[4]BCRsiKFW'!AC5</f>
        <v>8.663399999999998</v>
      </c>
      <c r="E14" s="71">
        <f>'[4]BCRsiKFW'!AD5</f>
        <v>7.830060000000003</v>
      </c>
      <c r="F14" s="71">
        <f>'[4]BCRsiKFW'!AE5</f>
        <v>7.15672000000001</v>
      </c>
      <c r="G14" s="71">
        <f>'[4]BCRsiKFW'!AF5</f>
        <v>6.383380000000016</v>
      </c>
      <c r="H14" s="71">
        <f>'[4]BCRsiKFW'!AG5</f>
        <v>5.5500400000000205</v>
      </c>
      <c r="I14" s="71">
        <f>'[4]BCRsiKFW'!AH5</f>
        <v>0.6</v>
      </c>
      <c r="J14" s="71">
        <f>'[4]BCRsiKFW'!AI5</f>
        <v>8.583360000000017</v>
      </c>
      <c r="K14" s="71">
        <f>'[4]BCRsiKFW'!AJ5</f>
        <v>2.830020000000019</v>
      </c>
      <c r="L14" s="71">
        <f>'[4]BCRsiKFW'!AK5</f>
        <v>1.9966800000000184</v>
      </c>
      <c r="M14" s="71">
        <f>'[4]BCRsiKFW'!AL5</f>
        <v>0.33000000000000007</v>
      </c>
      <c r="N14" s="71"/>
      <c r="O14" s="71"/>
      <c r="P14" s="71"/>
      <c r="Q14" s="71"/>
      <c r="R14" s="71"/>
      <c r="S14" s="70"/>
      <c r="T14" s="70"/>
      <c r="U14" s="70"/>
      <c r="V14" s="70"/>
    </row>
    <row r="15" spans="1:22" ht="12">
      <c r="A15" s="138"/>
      <c r="B15" s="72" t="s">
        <v>58</v>
      </c>
      <c r="C15" s="73">
        <f aca="true" t="shared" si="6" ref="C15:M15">SUM(C12:C14)</f>
        <v>403.2559</v>
      </c>
      <c r="D15" s="73">
        <f t="shared" si="6"/>
        <v>393.54802040000004</v>
      </c>
      <c r="E15" s="73">
        <f t="shared" si="6"/>
        <v>418.5527902000001</v>
      </c>
      <c r="F15" s="73">
        <f t="shared" si="6"/>
        <v>408.86132250000014</v>
      </c>
      <c r="G15" s="73">
        <f t="shared" si="6"/>
        <v>398.9212425000002</v>
      </c>
      <c r="H15" s="73">
        <f t="shared" si="6"/>
        <v>388.92116250000026</v>
      </c>
      <c r="I15" s="73">
        <f t="shared" si="6"/>
        <v>406.12984000000006</v>
      </c>
      <c r="J15" s="73">
        <f t="shared" si="6"/>
        <v>426.27583150000027</v>
      </c>
      <c r="K15" s="73">
        <f t="shared" si="6"/>
        <v>393.85537040000054</v>
      </c>
      <c r="L15" s="73">
        <f t="shared" si="6"/>
        <v>369.55517600000053</v>
      </c>
      <c r="M15" s="73">
        <f t="shared" si="6"/>
        <v>316.6436416000004</v>
      </c>
      <c r="N15" s="73"/>
      <c r="O15" s="73"/>
      <c r="P15" s="73"/>
      <c r="Q15" s="73"/>
      <c r="R15" s="73"/>
      <c r="S15" s="70"/>
      <c r="T15" s="70"/>
      <c r="U15" s="70"/>
      <c r="V15" s="70"/>
    </row>
    <row r="16" spans="1:23" ht="12" customHeight="1">
      <c r="A16" s="138"/>
      <c r="B16" s="66" t="s">
        <v>59</v>
      </c>
      <c r="C16" s="69"/>
      <c r="D16" s="69"/>
      <c r="E16" s="69"/>
      <c r="F16" s="69"/>
      <c r="G16" s="69"/>
      <c r="H16" s="69"/>
      <c r="I16" s="69">
        <f>'[4]BCR2020'!N3</f>
        <v>0</v>
      </c>
      <c r="J16" s="69">
        <f>'[4]BCR2020'!O3</f>
        <v>1662.924</v>
      </c>
      <c r="K16" s="69">
        <f>'[4]BCR2020'!P3</f>
        <v>2217.230912826087</v>
      </c>
      <c r="L16" s="69">
        <f>'[4]BCR2020'!Q3</f>
        <v>2217.230550434783</v>
      </c>
      <c r="M16" s="69">
        <f>'[4]BCR2020'!R3</f>
        <v>2217.230550434783</v>
      </c>
      <c r="N16" s="69">
        <f>'[4]BCR2020'!S3</f>
        <v>2217.230550434783</v>
      </c>
      <c r="O16" s="69">
        <f>'[4]BCR2020'!T3</f>
        <v>2217.230550434783</v>
      </c>
      <c r="P16" s="69">
        <f>'[4]BCR2020'!U3</f>
        <v>2217.230550434783</v>
      </c>
      <c r="Q16" s="69">
        <f>'[4]BCR2020'!V3</f>
        <v>2217.230550434783</v>
      </c>
      <c r="R16" s="69">
        <f>'[4]BCR2020'!W3</f>
        <v>2217.230550434783</v>
      </c>
      <c r="S16" s="69">
        <f>'[4]BCR2020'!X3</f>
        <v>2217.230550434783</v>
      </c>
      <c r="T16" s="69">
        <f>'[4]BCR2020'!Y3</f>
        <v>2217.230550434783</v>
      </c>
      <c r="U16" s="69">
        <f>'[4]BCR2020'!Z3</f>
        <v>2217.230550434783</v>
      </c>
      <c r="V16" s="69">
        <f>'[4]BCR2020'!AA3</f>
        <v>1662.9229128260868</v>
      </c>
      <c r="W16" s="62"/>
    </row>
    <row r="17" spans="1:23" ht="12" customHeight="1">
      <c r="A17" s="138"/>
      <c r="B17" s="66" t="s">
        <v>60</v>
      </c>
      <c r="C17" s="69"/>
      <c r="D17" s="69"/>
      <c r="E17" s="69"/>
      <c r="F17" s="69"/>
      <c r="G17" s="69"/>
      <c r="H17" s="69"/>
      <c r="I17" s="69">
        <f>'[4]BCR2020'!N4</f>
        <v>683.64568</v>
      </c>
      <c r="J17" s="69">
        <f>'[4]BCR2020'!O4</f>
        <v>1749.0117908213501</v>
      </c>
      <c r="K17" s="69">
        <f>'[4]BCR2020'!P4</f>
        <v>2133.00946613561</v>
      </c>
      <c r="L17" s="69">
        <f>'[4]BCR2020'!Q4</f>
        <v>2628.4450571638868</v>
      </c>
      <c r="M17" s="69">
        <f>'[4]BCR2020'!R4</f>
        <v>2375.0925924210815</v>
      </c>
      <c r="N17" s="69">
        <f>'[4]BCR2020'!S4</f>
        <v>2121.740127678276</v>
      </c>
      <c r="O17" s="69">
        <f>'[4]BCR2020'!T4</f>
        <v>1873.5935354986786</v>
      </c>
      <c r="P17" s="69">
        <f>'[4]BCR2020'!U4</f>
        <v>1615.035198192665</v>
      </c>
      <c r="Q17" s="69">
        <f>'[4]BCR2020'!V4</f>
        <v>1361.6827334498591</v>
      </c>
      <c r="R17" s="69">
        <f>'[4]BCR2020'!W4</f>
        <v>1108.3302687070532</v>
      </c>
      <c r="S17" s="69">
        <f>'[4]BCR2020'!X4</f>
        <v>857.4072111604117</v>
      </c>
      <c r="T17" s="69">
        <f>'[4]BCR2020'!Y4</f>
        <v>601.6253392214423</v>
      </c>
      <c r="U17" s="69">
        <f>'[4]BCR2020'!Z4</f>
        <v>348.2728744786367</v>
      </c>
      <c r="V17" s="69">
        <f>'[4]BCR2020'!AA4</f>
        <v>94.92040973583133</v>
      </c>
      <c r="W17" s="62"/>
    </row>
    <row r="18" spans="1:23" ht="12">
      <c r="A18" s="138"/>
      <c r="B18" s="66" t="s">
        <v>61</v>
      </c>
      <c r="C18" s="69"/>
      <c r="D18" s="69"/>
      <c r="E18" s="69"/>
      <c r="F18" s="69"/>
      <c r="G18" s="69"/>
      <c r="H18" s="69"/>
      <c r="I18" s="69">
        <f>'[4]BCR2020'!N5</f>
        <v>0</v>
      </c>
      <c r="J18" s="69">
        <f>'[4]BCR2020'!O5</f>
        <v>45.84544</v>
      </c>
      <c r="K18" s="69">
        <f>'[4]BCR2020'!P5</f>
        <v>0</v>
      </c>
      <c r="L18" s="69">
        <f>'[4]BCR2020'!Q5</f>
        <v>0</v>
      </c>
      <c r="M18" s="69">
        <f>'[4]BCR2020'!R5</f>
        <v>0</v>
      </c>
      <c r="N18" s="69">
        <f>'[4]BCR2020'!S5</f>
        <v>0</v>
      </c>
      <c r="O18" s="69">
        <f>'[4]BCR2020'!T5</f>
        <v>0</v>
      </c>
      <c r="P18" s="69">
        <f>'[4]BCR2020'!U5</f>
        <v>0</v>
      </c>
      <c r="Q18" s="69">
        <f>'[4]BCR2020'!V5</f>
        <v>0</v>
      </c>
      <c r="R18" s="69">
        <f>'[4]BCR2020'!W5</f>
        <v>0</v>
      </c>
      <c r="S18" s="69">
        <f>'[4]BCR2020'!X5</f>
        <v>0</v>
      </c>
      <c r="T18" s="69">
        <f>'[4]BCR2020'!Y5</f>
        <v>0</v>
      </c>
      <c r="U18" s="69">
        <f>'[4]BCR2020'!Z5</f>
        <v>0</v>
      </c>
      <c r="V18" s="69">
        <f>'[4]BCR2020'!AA5</f>
        <v>0</v>
      </c>
      <c r="W18" s="62"/>
    </row>
    <row r="19" spans="1:22" s="74" customFormat="1" ht="12">
      <c r="A19" s="138"/>
      <c r="B19" s="72" t="s">
        <v>62</v>
      </c>
      <c r="C19" s="67">
        <f aca="true" t="shared" si="7" ref="C19:P19">SUM(C16:C18)</f>
        <v>0</v>
      </c>
      <c r="D19" s="67">
        <f t="shared" si="7"/>
        <v>0</v>
      </c>
      <c r="E19" s="67">
        <f t="shared" si="7"/>
        <v>0</v>
      </c>
      <c r="F19" s="67">
        <f t="shared" si="7"/>
        <v>0</v>
      </c>
      <c r="G19" s="67">
        <f t="shared" si="7"/>
        <v>0</v>
      </c>
      <c r="H19" s="67">
        <f t="shared" si="7"/>
        <v>0</v>
      </c>
      <c r="I19" s="67">
        <f t="shared" si="7"/>
        <v>683.64568</v>
      </c>
      <c r="J19" s="67">
        <f t="shared" si="7"/>
        <v>3457.78123082135</v>
      </c>
      <c r="K19" s="67">
        <f t="shared" si="7"/>
        <v>4350.240378961697</v>
      </c>
      <c r="L19" s="67">
        <f t="shared" si="7"/>
        <v>4845.67560759867</v>
      </c>
      <c r="M19" s="67">
        <f t="shared" si="7"/>
        <v>4592.323142855865</v>
      </c>
      <c r="N19" s="67">
        <f t="shared" si="7"/>
        <v>4338.970678113059</v>
      </c>
      <c r="O19" s="67">
        <f t="shared" si="7"/>
        <v>4090.8240859334614</v>
      </c>
      <c r="P19" s="67">
        <f t="shared" si="7"/>
        <v>3832.2657486274475</v>
      </c>
      <c r="Q19" s="67">
        <f>SUM(Q16:Q18)</f>
        <v>3578.9132838846417</v>
      </c>
      <c r="R19" s="67">
        <f>SUM(R16:R18)</f>
        <v>3325.560819141836</v>
      </c>
      <c r="S19" s="67">
        <f>SUM(S16:S18)</f>
        <v>3074.6377615951947</v>
      </c>
      <c r="T19" s="67">
        <f>SUM(T16:T18)</f>
        <v>2818.8558896562254</v>
      </c>
      <c r="U19" s="67">
        <f>SUM(U16:U18)</f>
        <v>2565.5034249134196</v>
      </c>
      <c r="V19" s="67">
        <f>SUM(V16:V18)</f>
        <v>1757.843322561918</v>
      </c>
    </row>
    <row r="20" spans="1:22" ht="12">
      <c r="A20" s="138"/>
      <c r="B20" s="66" t="s">
        <v>63</v>
      </c>
      <c r="C20" s="69">
        <f>'[4]BCRsiKFW'!L303</f>
        <v>2202.87977</v>
      </c>
      <c r="D20" s="69">
        <f>'[4]BCRsiKFW'!M303</f>
        <v>2202.87977</v>
      </c>
      <c r="E20" s="69">
        <f>'[4]BCRsiKFW'!N303</f>
        <v>2202.87977</v>
      </c>
      <c r="F20" s="69">
        <f>'[4]BCRsiKFW'!O303</f>
        <v>2202.87977</v>
      </c>
      <c r="G20" s="69">
        <f>'[4]BCRsiKFW'!P303</f>
        <v>2202.87977</v>
      </c>
      <c r="H20" s="69">
        <f>'[4]BCRsiKFW'!Q303</f>
        <v>2202.87977</v>
      </c>
      <c r="I20" s="69">
        <f>'[4]BCRsiKFW'!R303</f>
        <v>2202.87977</v>
      </c>
      <c r="J20" s="69">
        <f>'[4]BCRsiKFW'!S303</f>
        <v>2202.87977</v>
      </c>
      <c r="K20" s="69">
        <f>'[4]BCRsiKFW'!T303</f>
        <v>2202.87977</v>
      </c>
      <c r="L20" s="69">
        <f>'[4]BCRsiKFW'!U303</f>
        <v>2202.87977</v>
      </c>
      <c r="M20" s="69">
        <f>'[4]BCRsiKFW'!V303</f>
        <v>2202.87977</v>
      </c>
      <c r="N20" s="69">
        <f>'[4]BCRsiKFW'!W303</f>
        <v>2202.87977</v>
      </c>
      <c r="O20" s="69"/>
      <c r="P20" s="69"/>
      <c r="Q20" s="69"/>
      <c r="R20" s="69"/>
      <c r="S20" s="70"/>
      <c r="T20" s="70"/>
      <c r="U20" s="70"/>
      <c r="V20" s="70"/>
    </row>
    <row r="21" spans="1:22" ht="12">
      <c r="A21" s="138"/>
      <c r="B21" s="66" t="s">
        <v>64</v>
      </c>
      <c r="C21" s="69">
        <f>'[4]BCRsiKFW'!L304</f>
        <v>913.7208676050001</v>
      </c>
      <c r="D21" s="69">
        <f>'[4]BCRsiKFW'!M304</f>
        <v>832.5012349290001</v>
      </c>
      <c r="E21" s="69">
        <f>'[4]BCRsiKFW'!N304</f>
        <v>751.2816022530002</v>
      </c>
      <c r="F21" s="69">
        <f>'[4]BCRsiKFW'!O304</f>
        <v>670.061969577</v>
      </c>
      <c r="G21" s="69">
        <f>'[4]BCRsiKFW'!P304</f>
        <v>588.842336901</v>
      </c>
      <c r="H21" s="69">
        <f>'[4]BCRsiKFW'!Q304</f>
        <v>507.62270422500006</v>
      </c>
      <c r="I21" s="69">
        <f>'[4]BCRsiKFW'!R304</f>
        <v>426.40307154900006</v>
      </c>
      <c r="J21" s="69">
        <f>'[4]BCRsiKFW'!S304</f>
        <v>345.18343887300006</v>
      </c>
      <c r="K21" s="69">
        <f>'[4]BCRsiKFW'!T304</f>
        <v>263.96380619700005</v>
      </c>
      <c r="L21" s="69">
        <f>'[4]BCRsiKFW'!U304</f>
        <v>182.74417352100002</v>
      </c>
      <c r="M21" s="69">
        <f>'[4]BCRsiKFW'!V304</f>
        <v>101.524540845</v>
      </c>
      <c r="N21" s="69">
        <f>'[4]BCRsiKFW'!W304</f>
        <v>20.304908168999997</v>
      </c>
      <c r="O21" s="69"/>
      <c r="P21" s="69"/>
      <c r="Q21" s="69"/>
      <c r="R21" s="69"/>
      <c r="S21" s="70"/>
      <c r="T21" s="70"/>
      <c r="U21" s="70"/>
      <c r="V21" s="70"/>
    </row>
    <row r="22" spans="1:22" ht="12">
      <c r="A22" s="138"/>
      <c r="B22" s="66" t="s">
        <v>65</v>
      </c>
      <c r="C22" s="69">
        <f>'[4]BCRsiKFW'!N305</f>
        <v>0</v>
      </c>
      <c r="D22" s="69">
        <f>'[4]BCRsiKFW'!O305</f>
        <v>0</v>
      </c>
      <c r="E22" s="69">
        <f>'[4]BCRsiKFW'!P305</f>
        <v>0</v>
      </c>
      <c r="F22" s="69">
        <f>'[4]BCRsiKFW'!Q305</f>
        <v>0</v>
      </c>
      <c r="G22" s="69">
        <f>'[4]BCRsiKFW'!R305</f>
        <v>0</v>
      </c>
      <c r="H22" s="69">
        <f>'[4]BCRsiKFW'!S305</f>
        <v>0</v>
      </c>
      <c r="I22" s="69">
        <f>'[4]BCRsiKFW'!T305</f>
        <v>0</v>
      </c>
      <c r="J22" s="69">
        <f>'[4]BCRsiKFW'!U305</f>
        <v>0</v>
      </c>
      <c r="K22" s="69">
        <f>'[4]BCRsiKFW'!V305</f>
        <v>0</v>
      </c>
      <c r="L22" s="69">
        <f>'[4]BCRsiKFW'!W305</f>
        <v>0</v>
      </c>
      <c r="M22" s="69">
        <f>'[4]BCRsiKFW'!X305</f>
        <v>0</v>
      </c>
      <c r="N22" s="69">
        <f>'[4]BCRsiKFW'!Y305</f>
        <v>0</v>
      </c>
      <c r="O22" s="69"/>
      <c r="P22" s="69"/>
      <c r="Q22" s="69"/>
      <c r="R22" s="69"/>
      <c r="S22" s="70"/>
      <c r="T22" s="70"/>
      <c r="U22" s="70"/>
      <c r="V22" s="70"/>
    </row>
    <row r="23" spans="1:22" s="74" customFormat="1" ht="12">
      <c r="A23" s="138"/>
      <c r="B23" s="72" t="s">
        <v>66</v>
      </c>
      <c r="C23" s="67">
        <f aca="true" t="shared" si="8" ref="C23:N23">SUM(C20:C22)</f>
        <v>3116.600637605</v>
      </c>
      <c r="D23" s="67">
        <f t="shared" si="8"/>
        <v>3035.381004929</v>
      </c>
      <c r="E23" s="67">
        <f t="shared" si="8"/>
        <v>2954.161372253</v>
      </c>
      <c r="F23" s="67">
        <f t="shared" si="8"/>
        <v>2872.941739577</v>
      </c>
      <c r="G23" s="67">
        <f t="shared" si="8"/>
        <v>2791.722106901</v>
      </c>
      <c r="H23" s="67">
        <f t="shared" si="8"/>
        <v>2710.5024742250002</v>
      </c>
      <c r="I23" s="67">
        <f t="shared" si="8"/>
        <v>2629.2828415490003</v>
      </c>
      <c r="J23" s="67">
        <f t="shared" si="8"/>
        <v>2548.063208873</v>
      </c>
      <c r="K23" s="67">
        <f t="shared" si="8"/>
        <v>2466.843576197</v>
      </c>
      <c r="L23" s="67">
        <f t="shared" si="8"/>
        <v>2385.623943521</v>
      </c>
      <c r="M23" s="67">
        <f t="shared" si="8"/>
        <v>2304.404310845</v>
      </c>
      <c r="N23" s="67">
        <f t="shared" si="8"/>
        <v>2223.184678169</v>
      </c>
      <c r="O23" s="67"/>
      <c r="P23" s="67"/>
      <c r="Q23" s="67"/>
      <c r="R23" s="67"/>
      <c r="S23" s="75"/>
      <c r="T23" s="75"/>
      <c r="U23" s="75"/>
      <c r="V23" s="75"/>
    </row>
    <row r="24" spans="1:22" s="74" customFormat="1" ht="24">
      <c r="A24" s="138"/>
      <c r="B24" s="66" t="s">
        <v>67</v>
      </c>
      <c r="C24" s="69"/>
      <c r="D24" s="69"/>
      <c r="E24" s="69"/>
      <c r="F24" s="69"/>
      <c r="G24" s="69"/>
      <c r="H24" s="69"/>
      <c r="I24" s="69">
        <f>'[4]CEC2018'!R3</f>
        <v>3323.36896</v>
      </c>
      <c r="J24" s="69">
        <f>'[4]CEC2018'!S3</f>
        <v>3323.36896</v>
      </c>
      <c r="K24" s="69">
        <f>'[4]CEC2018'!T3</f>
        <v>3323.36896</v>
      </c>
      <c r="L24" s="69">
        <f>'[4]CEC2018'!U3</f>
        <v>3323.36896</v>
      </c>
      <c r="M24" s="69">
        <f>'[4]CEC2018'!V3</f>
        <v>3323.36896</v>
      </c>
      <c r="N24" s="69">
        <f>'[4]CEC2018'!W3</f>
        <v>3323.36896</v>
      </c>
      <c r="O24" s="69">
        <f>'[4]CEC2018'!X3</f>
        <v>3323.36875</v>
      </c>
      <c r="P24" s="69"/>
      <c r="Q24" s="69"/>
      <c r="R24" s="69"/>
      <c r="S24" s="75"/>
      <c r="T24" s="75"/>
      <c r="U24" s="75"/>
      <c r="V24" s="75"/>
    </row>
    <row r="25" spans="1:22" s="74" customFormat="1" ht="12">
      <c r="A25" s="138"/>
      <c r="B25" s="66" t="s">
        <v>68</v>
      </c>
      <c r="C25" s="69"/>
      <c r="D25" s="69"/>
      <c r="E25" s="69"/>
      <c r="F25" s="69"/>
      <c r="G25" s="69"/>
      <c r="H25" s="69"/>
      <c r="I25" s="69">
        <f>'[4]CEC2018'!R4</f>
        <v>1111.96693</v>
      </c>
      <c r="J25" s="69">
        <f>'[4]CEC2018'!S4</f>
        <v>1488.7404985787784</v>
      </c>
      <c r="K25" s="69">
        <f>'[4]CEC2018'!T4</f>
        <v>1151.521942058829</v>
      </c>
      <c r="L25" s="69">
        <f>'[4]CEC2018'!U4</f>
        <v>899.956066831954</v>
      </c>
      <c r="M25" s="69">
        <f>'[4]CEC2018'!V4</f>
        <v>651.621937086176</v>
      </c>
      <c r="N25" s="69">
        <f>'[4]CEC2018'!W4</f>
        <v>403.2878073403982</v>
      </c>
      <c r="O25" s="69">
        <f>'[4]CEC2018'!X4</f>
        <v>155.4639531606954</v>
      </c>
      <c r="P25" s="69"/>
      <c r="Q25" s="69"/>
      <c r="R25" s="69"/>
      <c r="S25" s="75"/>
      <c r="T25" s="75"/>
      <c r="U25" s="75"/>
      <c r="V25" s="75"/>
    </row>
    <row r="26" spans="1:22" s="74" customFormat="1" ht="12">
      <c r="A26" s="138"/>
      <c r="B26" s="66" t="s">
        <v>69</v>
      </c>
      <c r="C26" s="69"/>
      <c r="D26" s="69"/>
      <c r="E26" s="69"/>
      <c r="F26" s="69"/>
      <c r="G26" s="69"/>
      <c r="H26" s="69"/>
      <c r="I26" s="69">
        <f>'[4]CEC2018'!R5</f>
        <v>99.07441</v>
      </c>
      <c r="J26" s="69">
        <f>'[4]CEC2018'!S5</f>
        <v>84.12121288750004</v>
      </c>
      <c r="K26" s="69">
        <f>'[4]CEC2018'!T5</f>
        <v>69.16761553500008</v>
      </c>
      <c r="L26" s="69">
        <f>'[4]CEC2018'!U5</f>
        <v>54.21245521500007</v>
      </c>
      <c r="M26" s="69">
        <f>'[4]CEC2018'!V5</f>
        <v>39.25729489500006</v>
      </c>
      <c r="N26" s="69">
        <f>'[4]CEC2018'!W5</f>
        <v>24.30213457500006</v>
      </c>
      <c r="O26" s="69">
        <f>'[4]CEC2018'!X5</f>
        <v>9.346974255000058</v>
      </c>
      <c r="P26" s="69"/>
      <c r="Q26" s="69"/>
      <c r="R26" s="69"/>
      <c r="S26" s="75"/>
      <c r="T26" s="75"/>
      <c r="U26" s="75"/>
      <c r="V26" s="75"/>
    </row>
    <row r="27" spans="1:22" s="74" customFormat="1" ht="12">
      <c r="A27" s="138"/>
      <c r="B27" s="68" t="s">
        <v>70</v>
      </c>
      <c r="C27" s="67">
        <f aca="true" t="shared" si="9" ref="C27:O27">C24+C25+C26</f>
        <v>0</v>
      </c>
      <c r="D27" s="67">
        <f t="shared" si="9"/>
        <v>0</v>
      </c>
      <c r="E27" s="67">
        <f t="shared" si="9"/>
        <v>0</v>
      </c>
      <c r="F27" s="67">
        <f t="shared" si="9"/>
        <v>0</v>
      </c>
      <c r="G27" s="67">
        <f t="shared" si="9"/>
        <v>0</v>
      </c>
      <c r="H27" s="67">
        <f t="shared" si="9"/>
        <v>0</v>
      </c>
      <c r="I27" s="67">
        <f t="shared" si="9"/>
        <v>4534.4103000000005</v>
      </c>
      <c r="J27" s="67">
        <f t="shared" si="9"/>
        <v>4896.230671466278</v>
      </c>
      <c r="K27" s="67">
        <f t="shared" si="9"/>
        <v>4544.058517593829</v>
      </c>
      <c r="L27" s="67">
        <f t="shared" si="9"/>
        <v>4277.537482046953</v>
      </c>
      <c r="M27" s="67">
        <f t="shared" si="9"/>
        <v>4014.2481919811758</v>
      </c>
      <c r="N27" s="67">
        <f t="shared" si="9"/>
        <v>3750.9589019153977</v>
      </c>
      <c r="O27" s="67">
        <f t="shared" si="9"/>
        <v>3488.1796774156956</v>
      </c>
      <c r="P27" s="67"/>
      <c r="Q27" s="67"/>
      <c r="R27" s="67"/>
      <c r="S27" s="75"/>
      <c r="T27" s="75"/>
      <c r="U27" s="75"/>
      <c r="V27" s="75"/>
    </row>
    <row r="28" spans="1:22" s="74" customFormat="1" ht="12">
      <c r="A28" s="138"/>
      <c r="B28" s="66" t="s">
        <v>71</v>
      </c>
      <c r="C28" s="69">
        <f>'[4]credit CEC 2011'!Y17</f>
        <v>171.48338400000003</v>
      </c>
      <c r="D28" s="69">
        <f>'[4]credit CEC 2011'!Z17</f>
        <v>171.48338400000003</v>
      </c>
      <c r="E28" s="69">
        <f>'[4]credit CEC 2011'!AA17</f>
        <v>171.48338400000003</v>
      </c>
      <c r="F28" s="69">
        <f>'[4]credit CEC 2011'!AB17</f>
        <v>171.48338400000003</v>
      </c>
      <c r="G28" s="69">
        <f>'[4]credit CEC 2011'!AC17</f>
        <v>171.48338400000003</v>
      </c>
      <c r="H28" s="69">
        <f>'[4]credit CEC 2011'!AD17</f>
        <v>171.48338400000003</v>
      </c>
      <c r="I28" s="69">
        <f>'[4]credit CEC 2011'!AE17</f>
        <v>171.48338400000003</v>
      </c>
      <c r="J28" s="69">
        <f>'[4]credit CEC 2011'!AF17</f>
        <v>171.48338400000003</v>
      </c>
      <c r="K28" s="69">
        <f>'[4]credit CEC 2011'!AG17</f>
        <v>171.48338400000003</v>
      </c>
      <c r="L28" s="69">
        <f>'[4]credit CEC 2011'!AH17</f>
        <v>171.48338400000003</v>
      </c>
      <c r="M28" s="69">
        <f>'[4]credit CEC 2011'!AI17</f>
        <v>171.48338400000003</v>
      </c>
      <c r="N28" s="69">
        <f>'[4]credit CEC 2011'!AJ17</f>
        <v>171.48338400000003</v>
      </c>
      <c r="O28" s="69">
        <f>'[4]credit CEC 2011'!AK17</f>
        <v>171.48338400000003</v>
      </c>
      <c r="P28" s="69">
        <f>'[4]credit CEC 2011'!AL17</f>
        <v>171.48338400000003</v>
      </c>
      <c r="Q28" s="69">
        <f>'[4]credit CEC 2011'!AM17</f>
        <v>171.48338400000003</v>
      </c>
      <c r="R28" s="69">
        <f>'[4]credit CEC 2011'!AN17</f>
        <v>128.61250800000002</v>
      </c>
      <c r="S28" s="75"/>
      <c r="T28" s="75"/>
      <c r="U28" s="75"/>
      <c r="V28" s="75"/>
    </row>
    <row r="29" spans="1:22" s="74" customFormat="1" ht="12">
      <c r="A29" s="138"/>
      <c r="B29" s="66" t="s">
        <v>72</v>
      </c>
      <c r="C29" s="69">
        <f>'[4]credit CEC 2011'!Y18</f>
        <v>313.37439</v>
      </c>
      <c r="D29" s="69">
        <f>'[4]credit CEC 2011'!Z18</f>
        <v>314.19917999999996</v>
      </c>
      <c r="E29" s="69">
        <f>'[4]credit CEC 2011'!AA18</f>
        <v>477.31844</v>
      </c>
      <c r="F29" s="69">
        <f>'[4]credit CEC 2011'!AB18</f>
        <v>498.8274</v>
      </c>
      <c r="G29" s="69">
        <f>'[4]credit CEC 2011'!AC18</f>
        <v>397.73052</v>
      </c>
      <c r="H29" s="69">
        <f>'[4]credit CEC 2011'!AD18</f>
        <v>291.27871000000005</v>
      </c>
      <c r="I29" s="69">
        <f>'[4]credit CEC 2011'!AE18</f>
        <v>568.97237</v>
      </c>
      <c r="J29" s="69">
        <f>'[4]credit CEC 2011'!AF18</f>
        <v>596.0147853162492</v>
      </c>
      <c r="K29" s="69">
        <f>'[4]credit CEC 2011'!AG18</f>
        <v>502.7142467774983</v>
      </c>
      <c r="L29" s="69">
        <f>'[4]credit CEC 2011'!AH18</f>
        <v>434.54960163749826</v>
      </c>
      <c r="M29" s="69">
        <f>'[4]credit CEC 2011'!AI18</f>
        <v>366.384956497498</v>
      </c>
      <c r="N29" s="69">
        <f>'[4]credit CEC 2011'!AJ18</f>
        <v>298.220311357498</v>
      </c>
      <c r="O29" s="69">
        <f>'[4]credit CEC 2011'!AK18</f>
        <v>230.05566621749801</v>
      </c>
      <c r="P29" s="69">
        <f>'[4]credit CEC 2011'!AL18</f>
        <v>161.891021077498</v>
      </c>
      <c r="Q29" s="69">
        <f>'[4]credit CEC 2011'!AM18</f>
        <v>93.72637593749803</v>
      </c>
      <c r="R29" s="69">
        <f>'[4]credit CEC 2011'!AN18</f>
        <v>25.561733579998513</v>
      </c>
      <c r="S29" s="75"/>
      <c r="T29" s="75"/>
      <c r="U29" s="75"/>
      <c r="V29" s="75"/>
    </row>
    <row r="30" spans="1:22" s="74" customFormat="1" ht="12">
      <c r="A30" s="138"/>
      <c r="B30" s="66" t="s">
        <v>73</v>
      </c>
      <c r="C30" s="69">
        <f>'[4]credit CEC 2011'!Y19</f>
        <v>52.93692</v>
      </c>
      <c r="D30" s="69">
        <f>'[4]credit CEC 2011'!Z19</f>
        <v>50.41611</v>
      </c>
      <c r="E30" s="69">
        <f>'[4]credit CEC 2011'!AA19</f>
        <v>47.05504</v>
      </c>
      <c r="F30" s="69">
        <f>'[4]credit CEC 2011'!AB19</f>
        <v>42.853699999999996</v>
      </c>
      <c r="G30" s="69">
        <f>'[4]credit CEC 2011'!AC19</f>
        <v>40.092620000000004</v>
      </c>
      <c r="H30" s="69">
        <f>'[4]credit CEC 2011'!AD19</f>
        <v>36.131550000000004</v>
      </c>
      <c r="I30" s="69">
        <f>'[4]credit CEC 2011'!AE19</f>
        <v>32.77047</v>
      </c>
      <c r="J30" s="69">
        <f>'[4]credit CEC 2011'!AF19</f>
        <v>30.24967</v>
      </c>
      <c r="K30" s="69">
        <f>'[4]credit CEC 2011'!AG19</f>
        <v>22.507193729999944</v>
      </c>
      <c r="L30" s="69">
        <f>'[4]credit CEC 2011'!AH19</f>
        <v>19.934942969999938</v>
      </c>
      <c r="M30" s="69">
        <f>'[4]credit CEC 2011'!AI19</f>
        <v>17.362692209999935</v>
      </c>
      <c r="N30" s="69">
        <f>'[4]credit CEC 2011'!AJ19</f>
        <v>14.790441449999928</v>
      </c>
      <c r="O30" s="69">
        <f>'[4]credit CEC 2011'!AK19</f>
        <v>12.218190689999926</v>
      </c>
      <c r="P30" s="69">
        <f>'[4]credit CEC 2011'!AL19</f>
        <v>9.645939929999924</v>
      </c>
      <c r="Q30" s="69">
        <f>'[4]credit CEC 2011'!AM19</f>
        <v>7.073689169999924</v>
      </c>
      <c r="R30" s="69">
        <f>'[4]credit CEC 2011'!AN19</f>
        <v>4.501438409999925</v>
      </c>
      <c r="S30" s="75"/>
      <c r="T30" s="75"/>
      <c r="U30" s="75"/>
      <c r="V30" s="75"/>
    </row>
    <row r="31" spans="1:22" s="74" customFormat="1" ht="12">
      <c r="A31" s="138"/>
      <c r="B31" s="72" t="s">
        <v>74</v>
      </c>
      <c r="C31" s="67">
        <f aca="true" t="shared" si="10" ref="C31:R31">C28+C29+C30</f>
        <v>537.794694</v>
      </c>
      <c r="D31" s="67">
        <f t="shared" si="10"/>
        <v>536.098674</v>
      </c>
      <c r="E31" s="67">
        <f t="shared" si="10"/>
        <v>695.856864</v>
      </c>
      <c r="F31" s="67">
        <f t="shared" si="10"/>
        <v>713.164484</v>
      </c>
      <c r="G31" s="67">
        <f t="shared" si="10"/>
        <v>609.3065240000001</v>
      </c>
      <c r="H31" s="67">
        <f t="shared" si="10"/>
        <v>498.89364400000005</v>
      </c>
      <c r="I31" s="67">
        <f t="shared" si="10"/>
        <v>773.226224</v>
      </c>
      <c r="J31" s="67">
        <f t="shared" si="10"/>
        <v>797.7478393162493</v>
      </c>
      <c r="K31" s="67">
        <f t="shared" si="10"/>
        <v>696.7048245074983</v>
      </c>
      <c r="L31" s="67">
        <f t="shared" si="10"/>
        <v>625.9679286074983</v>
      </c>
      <c r="M31" s="67">
        <f t="shared" si="10"/>
        <v>555.231032707498</v>
      </c>
      <c r="N31" s="67">
        <f t="shared" si="10"/>
        <v>484.494136807498</v>
      </c>
      <c r="O31" s="67">
        <f t="shared" si="10"/>
        <v>413.75724090749793</v>
      </c>
      <c r="P31" s="67">
        <f t="shared" si="10"/>
        <v>343.020345007498</v>
      </c>
      <c r="Q31" s="67">
        <f t="shared" si="10"/>
        <v>272.283449107498</v>
      </c>
      <c r="R31" s="67">
        <f t="shared" si="10"/>
        <v>158.67567998999846</v>
      </c>
      <c r="S31" s="75"/>
      <c r="T31" s="75"/>
      <c r="U31" s="75"/>
      <c r="V31" s="75"/>
    </row>
    <row r="32" spans="1:22" s="74" customFormat="1" ht="12" customHeight="1">
      <c r="A32" s="138"/>
      <c r="B32" s="66" t="s">
        <v>75</v>
      </c>
      <c r="C32" s="69">
        <f>'[4]Credit CEC2015 - 10,08 mil.'!L3</f>
        <v>0</v>
      </c>
      <c r="D32" s="69">
        <f>'[4]Credit CEC2015 - 10,08 mil.'!M3</f>
        <v>0</v>
      </c>
      <c r="E32" s="69">
        <f>'[4]Credit CEC2015 - 10,08 mil.'!N3</f>
        <v>883.57568</v>
      </c>
      <c r="F32" s="69">
        <f>'[4]Credit CEC2015 - 10,08 mil.'!O3</f>
        <v>1116.8566899999998</v>
      </c>
      <c r="G32" s="69">
        <f>'[4]Credit CEC2015 - 10,08 mil.'!P3</f>
        <v>1347.76804</v>
      </c>
      <c r="H32" s="69">
        <f>'[4]Credit CEC2015 - 10,08 mil.'!Q3</f>
        <v>1347.76804</v>
      </c>
      <c r="I32" s="69">
        <f>'[4]Credit CEC2015 - 10,08 mil.'!R3</f>
        <v>1347.76804</v>
      </c>
      <c r="J32" s="69">
        <f>'[4]Credit CEC2015 - 10,08 mil.'!S3</f>
        <v>1347.76804</v>
      </c>
      <c r="K32" s="69">
        <f>'[4]Credit CEC2015 - 10,08 mil.'!T3</f>
        <v>1347.76804</v>
      </c>
      <c r="L32" s="69">
        <f>'[4]Credit CEC2015 - 10,08 mil.'!U3</f>
        <v>1347.768</v>
      </c>
      <c r="M32" s="69"/>
      <c r="N32" s="67"/>
      <c r="O32" s="67"/>
      <c r="P32" s="67"/>
      <c r="Q32" s="67"/>
      <c r="R32" s="67"/>
      <c r="S32" s="75"/>
      <c r="T32" s="75"/>
      <c r="U32" s="75"/>
      <c r="V32" s="75"/>
    </row>
    <row r="33" spans="1:22" s="74" customFormat="1" ht="12">
      <c r="A33" s="138"/>
      <c r="B33" s="66" t="s">
        <v>76</v>
      </c>
      <c r="C33" s="69">
        <f>'[4]Credit CEC2015 - 10,08 mil.'!L4</f>
        <v>0</v>
      </c>
      <c r="D33" s="69">
        <f>'[4]Credit CEC2015 - 10,08 mil.'!M4</f>
        <v>40.101169999999996</v>
      </c>
      <c r="E33" s="69">
        <f>'[4]Credit CEC2015 - 10,08 mil.'!N4</f>
        <v>257.47634999999997</v>
      </c>
      <c r="F33" s="69">
        <f>'[4]Credit CEC2015 - 10,08 mil.'!O4</f>
        <v>261.27687</v>
      </c>
      <c r="G33" s="69">
        <f>'[4]Credit CEC2015 - 10,08 mil.'!P4</f>
        <v>326.02209000000005</v>
      </c>
      <c r="H33" s="69">
        <f>'[4]Credit CEC2015 - 10,08 mil.'!Q4</f>
        <v>210.8338</v>
      </c>
      <c r="I33" s="69">
        <f>'[4]Credit CEC2015 - 10,08 mil.'!R4</f>
        <v>281.74874</v>
      </c>
      <c r="J33" s="69">
        <f>'[4]Credit CEC2015 - 10,08 mil.'!S4</f>
        <v>306.4899249362502</v>
      </c>
      <c r="K33" s="69">
        <f>'[4]Credit CEC2015 - 10,08 mil.'!T4</f>
        <v>174.11478048750038</v>
      </c>
      <c r="L33" s="69">
        <f>'[4]Credit CEC2015 - 10,08 mil.'!U4</f>
        <v>66.9672213075004</v>
      </c>
      <c r="M33" s="69"/>
      <c r="N33" s="67"/>
      <c r="O33" s="67"/>
      <c r="P33" s="67"/>
      <c r="Q33" s="67"/>
      <c r="R33" s="67"/>
      <c r="S33" s="75"/>
      <c r="T33" s="75"/>
      <c r="U33" s="75"/>
      <c r="V33" s="75"/>
    </row>
    <row r="34" spans="1:22" s="74" customFormat="1" ht="12" customHeight="1">
      <c r="A34" s="138"/>
      <c r="B34" s="66" t="s">
        <v>77</v>
      </c>
      <c r="C34" s="69">
        <f>'[4]Credit CEC2015 - 10,08 mil.'!L5</f>
        <v>65.57103</v>
      </c>
      <c r="D34" s="69">
        <f>'[4]Credit CEC2015 - 10,08 mil.'!M5</f>
        <v>0</v>
      </c>
      <c r="E34" s="69">
        <f>'[4]Credit CEC2015 - 10,08 mil.'!N5</f>
        <v>2</v>
      </c>
      <c r="F34" s="69">
        <f>'[4]Credit CEC2015 - 10,08 mil.'!O5</f>
        <v>2.2</v>
      </c>
      <c r="G34" s="69">
        <f>'[4]Credit CEC2015 - 10,08 mil.'!P5</f>
        <v>0.6</v>
      </c>
      <c r="H34" s="69">
        <f>'[4]Credit CEC2015 - 10,08 mil.'!Q5</f>
        <v>0</v>
      </c>
      <c r="I34" s="69">
        <f>'[4]Credit CEC2015 - 10,08 mil.'!R5</f>
        <v>0</v>
      </c>
      <c r="J34" s="69">
        <f>'[4]Credit CEC2015 - 10,08 mil.'!S5</f>
        <v>0</v>
      </c>
      <c r="K34" s="69">
        <f>'[4]Credit CEC2015 - 10,08 mil.'!T5</f>
        <v>0</v>
      </c>
      <c r="L34" s="69">
        <f>'[4]Credit CEC2015 - 10,08 mil.'!U5</f>
        <v>0</v>
      </c>
      <c r="M34" s="69"/>
      <c r="N34" s="67"/>
      <c r="O34" s="67"/>
      <c r="P34" s="67"/>
      <c r="Q34" s="67"/>
      <c r="R34" s="67"/>
      <c r="S34" s="75"/>
      <c r="T34" s="75"/>
      <c r="U34" s="75"/>
      <c r="V34" s="75"/>
    </row>
    <row r="35" spans="1:22" s="74" customFormat="1" ht="12">
      <c r="A35" s="138"/>
      <c r="B35" s="68" t="s">
        <v>78</v>
      </c>
      <c r="C35" s="67">
        <f aca="true" t="shared" si="11" ref="C35:L35">C32+C33+C34</f>
        <v>65.57103</v>
      </c>
      <c r="D35" s="67">
        <f t="shared" si="11"/>
        <v>40.101169999999996</v>
      </c>
      <c r="E35" s="67">
        <f t="shared" si="11"/>
        <v>1143.05203</v>
      </c>
      <c r="F35" s="67">
        <f t="shared" si="11"/>
        <v>1380.3335599999998</v>
      </c>
      <c r="G35" s="67">
        <f t="shared" si="11"/>
        <v>1674.3901299999998</v>
      </c>
      <c r="H35" s="67">
        <f t="shared" si="11"/>
        <v>1558.6018399999998</v>
      </c>
      <c r="I35" s="67">
        <f>I32+I33+I34</f>
        <v>1629.51678</v>
      </c>
      <c r="J35" s="67">
        <f t="shared" si="11"/>
        <v>1654.2579649362501</v>
      </c>
      <c r="K35" s="67">
        <f t="shared" si="11"/>
        <v>1521.8828204875003</v>
      </c>
      <c r="L35" s="67">
        <f t="shared" si="11"/>
        <v>1414.7352213075005</v>
      </c>
      <c r="M35" s="67"/>
      <c r="N35" s="67"/>
      <c r="O35" s="67"/>
      <c r="P35" s="67"/>
      <c r="Q35" s="67"/>
      <c r="R35" s="67"/>
      <c r="S35" s="75"/>
      <c r="T35" s="75"/>
      <c r="U35" s="75"/>
      <c r="V35" s="75"/>
    </row>
    <row r="36" spans="1:22" s="74" customFormat="1" ht="12">
      <c r="A36" s="138"/>
      <c r="B36" s="66" t="s">
        <v>79</v>
      </c>
      <c r="C36" s="69"/>
      <c r="D36" s="69"/>
      <c r="E36" s="69"/>
      <c r="F36" s="69"/>
      <c r="G36" s="69"/>
      <c r="H36" s="69"/>
      <c r="I36" s="69">
        <f>'[4]MFP2018'!P3</f>
        <v>2000.0000400000001</v>
      </c>
      <c r="J36" s="69">
        <f>'[4]MFP2018'!Q3</f>
        <v>1999.9998400000002</v>
      </c>
      <c r="K36" s="69">
        <f>'[4]MFP2018'!R3</f>
        <v>500.00001000000003</v>
      </c>
      <c r="L36" s="69"/>
      <c r="M36" s="69"/>
      <c r="N36" s="69"/>
      <c r="O36" s="67"/>
      <c r="P36" s="67"/>
      <c r="Q36" s="67"/>
      <c r="R36" s="67"/>
      <c r="S36" s="75"/>
      <c r="T36" s="75"/>
      <c r="U36" s="75"/>
      <c r="V36" s="75"/>
    </row>
    <row r="37" spans="1:22" s="74" customFormat="1" ht="12">
      <c r="A37" s="138"/>
      <c r="B37" s="66" t="s">
        <v>80</v>
      </c>
      <c r="C37" s="69"/>
      <c r="D37" s="69"/>
      <c r="E37" s="69"/>
      <c r="F37" s="69"/>
      <c r="G37" s="69"/>
      <c r="H37" s="69"/>
      <c r="I37" s="69">
        <f>'[4]MFP2018'!P4</f>
        <v>202.00124810020006</v>
      </c>
      <c r="J37" s="69">
        <f>'[4]MFP2018'!Q4</f>
        <v>94.98999321500014</v>
      </c>
      <c r="K37" s="69">
        <f>'[4]MFP2018'!R4</f>
        <v>6.637500132750045</v>
      </c>
      <c r="L37" s="69"/>
      <c r="M37" s="69"/>
      <c r="N37" s="69"/>
      <c r="O37" s="67"/>
      <c r="P37" s="67"/>
      <c r="Q37" s="67"/>
      <c r="R37" s="67"/>
      <c r="S37" s="75"/>
      <c r="T37" s="75"/>
      <c r="U37" s="75"/>
      <c r="V37" s="75"/>
    </row>
    <row r="38" spans="1:22" s="74" customFormat="1" ht="12">
      <c r="A38" s="138"/>
      <c r="B38" s="66" t="s">
        <v>81</v>
      </c>
      <c r="C38" s="69"/>
      <c r="D38" s="69"/>
      <c r="E38" s="69"/>
      <c r="F38" s="69"/>
      <c r="G38" s="69"/>
      <c r="H38" s="69"/>
      <c r="I38" s="69">
        <f>'[4]MFP2018'!P5</f>
        <v>0</v>
      </c>
      <c r="J38" s="69">
        <f>'[4]MFP2018'!Q5</f>
        <v>0</v>
      </c>
      <c r="K38" s="69">
        <f>'[4]MFP2018'!R5</f>
        <v>0</v>
      </c>
      <c r="L38" s="69"/>
      <c r="M38" s="69"/>
      <c r="N38" s="69"/>
      <c r="O38" s="67"/>
      <c r="P38" s="67"/>
      <c r="Q38" s="67"/>
      <c r="R38" s="67"/>
      <c r="S38" s="75"/>
      <c r="T38" s="75"/>
      <c r="U38" s="75"/>
      <c r="V38" s="75"/>
    </row>
    <row r="39" spans="1:22" s="74" customFormat="1" ht="12">
      <c r="A39" s="138"/>
      <c r="B39" s="68" t="s">
        <v>82</v>
      </c>
      <c r="C39" s="67">
        <f>C36+C37+C38</f>
        <v>0</v>
      </c>
      <c r="D39" s="67">
        <f>D36+D37+D38</f>
        <v>0</v>
      </c>
      <c r="E39" s="67">
        <f>E36+E37+E38</f>
        <v>0</v>
      </c>
      <c r="F39" s="67">
        <f>F36+F37+F38</f>
        <v>0</v>
      </c>
      <c r="G39" s="67">
        <f>G36+G37+G38</f>
        <v>0</v>
      </c>
      <c r="H39" s="67"/>
      <c r="I39" s="67">
        <f>I36+I37+I38</f>
        <v>2202.0012881002003</v>
      </c>
      <c r="J39" s="67">
        <f>J36+J37+J38</f>
        <v>2094.9898332150005</v>
      </c>
      <c r="K39" s="67">
        <f>K36+K37+K38</f>
        <v>506.6375101327501</v>
      </c>
      <c r="L39" s="67"/>
      <c r="M39" s="67"/>
      <c r="N39" s="67"/>
      <c r="O39" s="67"/>
      <c r="P39" s="67"/>
      <c r="Q39" s="67"/>
      <c r="R39" s="67"/>
      <c r="S39" s="75"/>
      <c r="T39" s="75"/>
      <c r="U39" s="75"/>
      <c r="V39" s="75"/>
    </row>
    <row r="40" spans="1:22" s="74" customFormat="1" ht="12">
      <c r="A40" s="65"/>
      <c r="B40" s="66" t="s">
        <v>83</v>
      </c>
      <c r="C40" s="67"/>
      <c r="D40" s="67"/>
      <c r="E40" s="67"/>
      <c r="F40" s="67"/>
      <c r="G40" s="67"/>
      <c r="H40" s="67"/>
      <c r="I40" s="69">
        <f>'[4]MFP2021'!M3</f>
        <v>6000</v>
      </c>
      <c r="J40" s="69">
        <f>'[4]MFP2021'!N3</f>
        <v>6000</v>
      </c>
      <c r="K40" s="69">
        <f>'[4]MFP2021'!O3</f>
        <v>6000</v>
      </c>
      <c r="L40" s="69">
        <f>'[4]MFP2021'!P3</f>
        <v>6000</v>
      </c>
      <c r="M40" s="69">
        <f>'[4]MFP2021'!Q3</f>
        <v>4500</v>
      </c>
      <c r="N40" s="67"/>
      <c r="O40" s="67"/>
      <c r="P40" s="67"/>
      <c r="Q40" s="67"/>
      <c r="R40" s="67"/>
      <c r="S40" s="75"/>
      <c r="T40" s="75"/>
      <c r="U40" s="75"/>
      <c r="V40" s="75"/>
    </row>
    <row r="41" spans="1:22" s="74" customFormat="1" ht="12">
      <c r="A41" s="65"/>
      <c r="B41" s="66" t="s">
        <v>84</v>
      </c>
      <c r="C41" s="67"/>
      <c r="D41" s="67"/>
      <c r="E41" s="67"/>
      <c r="F41" s="67"/>
      <c r="G41" s="67"/>
      <c r="H41" s="67"/>
      <c r="I41" s="69">
        <f>'[4]MFP2021'!M4</f>
        <v>824.8583466666666</v>
      </c>
      <c r="J41" s="69">
        <f>'[4]MFP2021'!N4</f>
        <v>637.825</v>
      </c>
      <c r="K41" s="69">
        <f>'[4]MFP2021'!O4</f>
        <v>447.3041666666667</v>
      </c>
      <c r="L41" s="69">
        <f>'[4]MFP2021'!P4</f>
        <v>258.7208333333333</v>
      </c>
      <c r="M41" s="69">
        <f>'[4]MFP2021'!Q4</f>
        <v>70.1375</v>
      </c>
      <c r="N41" s="67"/>
      <c r="O41" s="67"/>
      <c r="P41" s="67"/>
      <c r="Q41" s="67"/>
      <c r="R41" s="67"/>
      <c r="S41" s="75"/>
      <c r="T41" s="75"/>
      <c r="U41" s="75"/>
      <c r="V41" s="75"/>
    </row>
    <row r="42" spans="1:22" s="74" customFormat="1" ht="12">
      <c r="A42" s="65"/>
      <c r="B42" s="66" t="s">
        <v>85</v>
      </c>
      <c r="C42" s="67"/>
      <c r="D42" s="67"/>
      <c r="E42" s="67"/>
      <c r="F42" s="67"/>
      <c r="G42" s="67"/>
      <c r="H42" s="67"/>
      <c r="I42" s="69">
        <f>'[4]MFP2021'!M5</f>
        <v>0</v>
      </c>
      <c r="J42" s="69">
        <f>'[4]MFP2021'!N5</f>
        <v>0</v>
      </c>
      <c r="K42" s="69">
        <f>'[4]MFP2021'!O5</f>
        <v>0</v>
      </c>
      <c r="L42" s="69">
        <f>'[4]MFP2021'!P5</f>
        <v>0</v>
      </c>
      <c r="M42" s="69">
        <f>'[4]MFP2021'!Q5</f>
        <v>0</v>
      </c>
      <c r="N42" s="67"/>
      <c r="O42" s="67"/>
      <c r="P42" s="67"/>
      <c r="Q42" s="67"/>
      <c r="R42" s="67"/>
      <c r="S42" s="75"/>
      <c r="T42" s="75"/>
      <c r="U42" s="75"/>
      <c r="V42" s="75"/>
    </row>
    <row r="43" spans="1:22" s="74" customFormat="1" ht="12">
      <c r="A43" s="65"/>
      <c r="B43" s="68" t="s">
        <v>86</v>
      </c>
      <c r="C43" s="67"/>
      <c r="D43" s="67"/>
      <c r="E43" s="67"/>
      <c r="F43" s="67"/>
      <c r="G43" s="67"/>
      <c r="H43" s="67"/>
      <c r="I43" s="67">
        <f>I40+I41+I42</f>
        <v>6824.858346666667</v>
      </c>
      <c r="J43" s="67">
        <f>J40+J41+J42</f>
        <v>6637.825</v>
      </c>
      <c r="K43" s="67">
        <f>K40+K41+K42</f>
        <v>6447.304166666667</v>
      </c>
      <c r="L43" s="67">
        <f>L40+L41+L42</f>
        <v>6258.720833333333</v>
      </c>
      <c r="M43" s="67">
        <f>M40+M41+M42</f>
        <v>4570.1375</v>
      </c>
      <c r="N43" s="67"/>
      <c r="O43" s="67"/>
      <c r="P43" s="67"/>
      <c r="Q43" s="67"/>
      <c r="R43" s="67"/>
      <c r="S43" s="75"/>
      <c r="T43" s="75"/>
      <c r="U43" s="75"/>
      <c r="V43" s="75"/>
    </row>
    <row r="44" spans="1:22" s="74" customFormat="1" ht="24">
      <c r="A44" s="65"/>
      <c r="B44" s="66" t="s">
        <v>67</v>
      </c>
      <c r="C44" s="67"/>
      <c r="D44" s="67"/>
      <c r="E44" s="67"/>
      <c r="F44" s="67"/>
      <c r="G44" s="67"/>
      <c r="H44" s="67"/>
      <c r="I44" s="69">
        <f>'[4]CECrefin2018'!S3/1000</f>
        <v>3071.05044</v>
      </c>
      <c r="J44" s="69">
        <f>'[4]CECrefin2018'!T3/1000</f>
        <v>3071.05044</v>
      </c>
      <c r="K44" s="69">
        <f>'[4]CECrefin2018'!U3/1000</f>
        <v>3071.05044</v>
      </c>
      <c r="L44" s="69">
        <f>'[4]CECrefin2018'!V3/1000</f>
        <v>3071.05044</v>
      </c>
      <c r="M44" s="69">
        <f>'[4]CECrefin2018'!W3/1000</f>
        <v>3071.05044</v>
      </c>
      <c r="N44" s="69">
        <f>'[4]CECrefin2018'!X3/1000</f>
        <v>3071.05044</v>
      </c>
      <c r="O44" s="69">
        <f>'[4]CECrefin2018'!Y3/1000</f>
        <v>3071.05044</v>
      </c>
      <c r="P44" s="69">
        <f>'[4]CECrefin2018'!Z3/1000</f>
        <v>767.76252</v>
      </c>
      <c r="Q44" s="67"/>
      <c r="R44" s="67"/>
      <c r="S44" s="75"/>
      <c r="T44" s="75"/>
      <c r="U44" s="75"/>
      <c r="V44" s="75"/>
    </row>
    <row r="45" spans="1:22" s="74" customFormat="1" ht="12">
      <c r="A45" s="65"/>
      <c r="B45" s="66" t="s">
        <v>68</v>
      </c>
      <c r="C45" s="67"/>
      <c r="D45" s="67"/>
      <c r="E45" s="67"/>
      <c r="F45" s="67"/>
      <c r="G45" s="67"/>
      <c r="H45" s="67"/>
      <c r="I45" s="69">
        <f>'[4]CECrefin2018'!S4/1000</f>
        <v>978.94296</v>
      </c>
      <c r="J45" s="69">
        <f>'[4]CECrefin2018'!T4/1000</f>
        <v>1379.4356565930673</v>
      </c>
      <c r="K45" s="69">
        <f>'[4]CECrefin2018'!U4/1000</f>
        <v>1071.4007728394677</v>
      </c>
      <c r="L45" s="69">
        <f>'[4]CECrefin2018'!V4/1000</f>
        <v>849.1932121317346</v>
      </c>
      <c r="M45" s="69">
        <f>'[4]CECrefin2018'!W4/1000</f>
        <v>629.988456281068</v>
      </c>
      <c r="N45" s="69">
        <f>'[4]CECrefin2018'!X4/1000</f>
        <v>410.7837004304013</v>
      </c>
      <c r="O45" s="69">
        <f>'[4]CECrefin2018'!Y4/1000</f>
        <v>192.17950553706797</v>
      </c>
      <c r="P45" s="69">
        <f>'[4]CECrefin2018'!Z4/1000</f>
        <v>13.812900804267</v>
      </c>
      <c r="Q45" s="67"/>
      <c r="R45" s="67"/>
      <c r="S45" s="75"/>
      <c r="T45" s="75"/>
      <c r="U45" s="75"/>
      <c r="V45" s="75"/>
    </row>
    <row r="46" spans="1:22" s="74" customFormat="1" ht="12">
      <c r="A46" s="65"/>
      <c r="B46" s="66" t="s">
        <v>69</v>
      </c>
      <c r="C46" s="67"/>
      <c r="D46" s="67"/>
      <c r="E46" s="67"/>
      <c r="F46" s="67"/>
      <c r="G46" s="67"/>
      <c r="H46" s="67"/>
      <c r="I46" s="69">
        <f>'[4]CECrefin2018'!S5</f>
        <v>0</v>
      </c>
      <c r="J46" s="69">
        <f>'[4]CECrefin2018'!T5</f>
        <v>0</v>
      </c>
      <c r="K46" s="69">
        <f>'[4]CECrefin2018'!U5</f>
        <v>0</v>
      </c>
      <c r="L46" s="69">
        <f>'[4]CECrefin2018'!V5</f>
        <v>0</v>
      </c>
      <c r="M46" s="69">
        <f>'[4]CECrefin2018'!W5</f>
        <v>0</v>
      </c>
      <c r="N46" s="69">
        <f>'[4]CECrefin2018'!X5</f>
        <v>0</v>
      </c>
      <c r="O46" s="69">
        <f>'[4]CECrefin2018'!Y5</f>
        <v>0</v>
      </c>
      <c r="P46" s="69">
        <f>'[4]CECrefin2018'!Z5</f>
        <v>0</v>
      </c>
      <c r="Q46" s="67"/>
      <c r="R46" s="67"/>
      <c r="S46" s="75"/>
      <c r="T46" s="75"/>
      <c r="U46" s="75"/>
      <c r="V46" s="75"/>
    </row>
    <row r="47" spans="1:22" s="74" customFormat="1" ht="24">
      <c r="A47" s="65"/>
      <c r="B47" s="68" t="s">
        <v>87</v>
      </c>
      <c r="C47" s="67"/>
      <c r="D47" s="67"/>
      <c r="E47" s="67"/>
      <c r="F47" s="67"/>
      <c r="G47" s="67"/>
      <c r="H47" s="67"/>
      <c r="I47" s="67">
        <f>I44+I45+I46</f>
        <v>4049.9934</v>
      </c>
      <c r="J47" s="67">
        <f aca="true" t="shared" si="12" ref="J47:P47">J44+J45+J46</f>
        <v>4450.4860965930675</v>
      </c>
      <c r="K47" s="67">
        <f t="shared" si="12"/>
        <v>4142.451212839467</v>
      </c>
      <c r="L47" s="67">
        <f t="shared" si="12"/>
        <v>3920.2436521317345</v>
      </c>
      <c r="M47" s="67">
        <f t="shared" si="12"/>
        <v>3701.038896281068</v>
      </c>
      <c r="N47" s="67">
        <f t="shared" si="12"/>
        <v>3481.8341404304015</v>
      </c>
      <c r="O47" s="67">
        <f t="shared" si="12"/>
        <v>3263.229945537068</v>
      </c>
      <c r="P47" s="67">
        <f t="shared" si="12"/>
        <v>781.575420804267</v>
      </c>
      <c r="Q47" s="67"/>
      <c r="R47" s="67"/>
      <c r="S47" s="75"/>
      <c r="T47" s="75"/>
      <c r="U47" s="75"/>
      <c r="V47" s="75"/>
    </row>
    <row r="48" spans="1:22" s="74" customFormat="1" ht="12">
      <c r="A48" s="65"/>
      <c r="B48" s="66" t="s">
        <v>99</v>
      </c>
      <c r="C48" s="67"/>
      <c r="D48" s="67"/>
      <c r="E48" s="67"/>
      <c r="F48" s="67"/>
      <c r="G48" s="67"/>
      <c r="H48" s="67"/>
      <c r="I48" s="69">
        <f>'[4]Deutsche Bank'!U20</f>
        <v>2612.0551772</v>
      </c>
      <c r="J48" s="69">
        <f>'[4]Deutsche Bank'!V20</f>
        <v>2612.0551772</v>
      </c>
      <c r="K48" s="69">
        <f>'[4]Deutsche Bank'!W20</f>
        <v>2612.0551772</v>
      </c>
      <c r="L48" s="69">
        <f>'[4]Deutsche Bank'!X20</f>
        <v>2612.0551772</v>
      </c>
      <c r="M48" s="69">
        <f>'[4]Deutsche Bank'!Y20</f>
        <v>2612.0551772</v>
      </c>
      <c r="N48" s="69">
        <f>'[4]Deutsche Bank'!Z20</f>
        <v>2612.0551772</v>
      </c>
      <c r="O48" s="69">
        <f>'[4]Deutsche Bank'!AA20</f>
        <v>2612.0551772</v>
      </c>
      <c r="P48" s="69">
        <f>'[4]Deutsche Bank'!AB20</f>
        <v>2612.0551772</v>
      </c>
      <c r="Q48" s="69">
        <f>'[4]Deutsche Bank'!AC20</f>
        <v>2612.0551772</v>
      </c>
      <c r="R48" s="67"/>
      <c r="S48" s="67"/>
      <c r="T48" s="75"/>
      <c r="U48" s="75"/>
      <c r="V48" s="75"/>
    </row>
    <row r="49" spans="1:22" s="74" customFormat="1" ht="12">
      <c r="A49" s="65"/>
      <c r="B49" s="66" t="s">
        <v>100</v>
      </c>
      <c r="C49" s="67"/>
      <c r="D49" s="67"/>
      <c r="E49" s="67"/>
      <c r="F49" s="67"/>
      <c r="G49" s="67"/>
      <c r="H49" s="67"/>
      <c r="I49" s="69">
        <f>'[4]Deutsche Bank'!U21</f>
        <v>1451.094603003744</v>
      </c>
      <c r="J49" s="69">
        <f>'[4]Deutsche Bank'!V21</f>
        <v>1285.255219803316</v>
      </c>
      <c r="K49" s="69">
        <f>'[4]Deutsche Bank'!W21</f>
        <v>1119.4158366028878</v>
      </c>
      <c r="L49" s="69">
        <f>'[4]Deutsche Bank'!X21</f>
        <v>953.5764534024597</v>
      </c>
      <c r="M49" s="69">
        <f>'[4]Deutsche Bank'!Y21</f>
        <v>787.7370702020319</v>
      </c>
      <c r="N49" s="69">
        <f>'[4]Deutsche Bank'!Z21</f>
        <v>621.8976870016039</v>
      </c>
      <c r="O49" s="69">
        <f>'[4]Deutsche Bank'!AA21</f>
        <v>456.05830380117584</v>
      </c>
      <c r="P49" s="69">
        <f>'[4]Deutsche Bank'!AB21</f>
        <v>290.2189206007479</v>
      </c>
      <c r="Q49" s="69">
        <f>'[4]Deutsche Bank'!AC21</f>
        <v>124.37953740031983</v>
      </c>
      <c r="R49" s="67"/>
      <c r="S49" s="67"/>
      <c r="T49" s="75"/>
      <c r="U49" s="75"/>
      <c r="V49" s="75"/>
    </row>
    <row r="50" spans="1:22" s="74" customFormat="1" ht="12">
      <c r="A50" s="65"/>
      <c r="B50" s="66" t="s">
        <v>101</v>
      </c>
      <c r="C50" s="67"/>
      <c r="D50" s="67"/>
      <c r="E50" s="67"/>
      <c r="F50" s="67"/>
      <c r="G50" s="67"/>
      <c r="H50" s="67"/>
      <c r="I50" s="69">
        <f>'[4]Deutsche Bank'!U22</f>
        <v>0</v>
      </c>
      <c r="J50" s="69">
        <f>'[4]Deutsche Bank'!V22</f>
        <v>0</v>
      </c>
      <c r="K50" s="69">
        <f>'[4]Deutsche Bank'!W22</f>
        <v>0</v>
      </c>
      <c r="L50" s="69">
        <f>'[4]Deutsche Bank'!X22</f>
        <v>0</v>
      </c>
      <c r="M50" s="69">
        <f>'[4]Deutsche Bank'!Y22</f>
        <v>0</v>
      </c>
      <c r="N50" s="69">
        <f>'[4]Deutsche Bank'!Z22</f>
        <v>0</v>
      </c>
      <c r="O50" s="69">
        <f>'[4]Deutsche Bank'!AA22</f>
        <v>0</v>
      </c>
      <c r="P50" s="69">
        <f>'[4]Deutsche Bank'!AB22</f>
        <v>0</v>
      </c>
      <c r="Q50" s="69">
        <f>'[4]Deutsche Bank'!AC22</f>
        <v>0</v>
      </c>
      <c r="R50" s="67"/>
      <c r="S50" s="67"/>
      <c r="T50" s="75"/>
      <c r="U50" s="75"/>
      <c r="V50" s="75"/>
    </row>
    <row r="51" spans="1:22" s="74" customFormat="1" ht="12">
      <c r="A51" s="65"/>
      <c r="B51" s="72" t="s">
        <v>102</v>
      </c>
      <c r="C51" s="67"/>
      <c r="D51" s="67"/>
      <c r="E51" s="67"/>
      <c r="F51" s="67"/>
      <c r="G51" s="67"/>
      <c r="H51" s="67"/>
      <c r="I51" s="67">
        <f>I48+I49</f>
        <v>4063.149780203744</v>
      </c>
      <c r="J51" s="67">
        <f aca="true" t="shared" si="13" ref="J51:Q51">J48+J49</f>
        <v>3897.310397003316</v>
      </c>
      <c r="K51" s="67">
        <f t="shared" si="13"/>
        <v>3731.4710138028877</v>
      </c>
      <c r="L51" s="67">
        <f t="shared" si="13"/>
        <v>3565.6316306024596</v>
      </c>
      <c r="M51" s="67">
        <f t="shared" si="13"/>
        <v>3399.7922474020315</v>
      </c>
      <c r="N51" s="67">
        <f t="shared" si="13"/>
        <v>3233.952864201604</v>
      </c>
      <c r="O51" s="67">
        <f t="shared" si="13"/>
        <v>3068.113481001176</v>
      </c>
      <c r="P51" s="67">
        <f t="shared" si="13"/>
        <v>2902.2740978007478</v>
      </c>
      <c r="Q51" s="67">
        <f t="shared" si="13"/>
        <v>2736.4347146003197</v>
      </c>
      <c r="R51" s="67"/>
      <c r="S51" s="75"/>
      <c r="T51" s="75"/>
      <c r="U51" s="75"/>
      <c r="V51" s="75"/>
    </row>
    <row r="52" spans="1:22" s="74" customFormat="1" ht="24">
      <c r="A52" s="138">
        <v>2</v>
      </c>
      <c r="B52" s="68" t="s">
        <v>88</v>
      </c>
      <c r="C52" s="67">
        <f aca="true" t="shared" si="14" ref="C52:H52">C53+C54+C55</f>
        <v>0</v>
      </c>
      <c r="D52" s="67">
        <f t="shared" si="14"/>
        <v>0</v>
      </c>
      <c r="E52" s="67">
        <f t="shared" si="14"/>
        <v>0</v>
      </c>
      <c r="F52" s="67">
        <f t="shared" si="14"/>
        <v>0</v>
      </c>
      <c r="G52" s="67">
        <f t="shared" si="14"/>
        <v>0</v>
      </c>
      <c r="H52" s="67">
        <f t="shared" si="14"/>
        <v>0</v>
      </c>
      <c r="I52" s="67"/>
      <c r="J52" s="67"/>
      <c r="K52" s="67"/>
      <c r="L52" s="67"/>
      <c r="M52" s="67"/>
      <c r="N52" s="67"/>
      <c r="O52" s="67"/>
      <c r="P52" s="67"/>
      <c r="Q52" s="67"/>
      <c r="R52" s="67"/>
      <c r="S52" s="75"/>
      <c r="T52" s="75"/>
      <c r="U52" s="75"/>
      <c r="V52" s="75"/>
    </row>
    <row r="53" spans="1:24" ht="11.25" customHeight="1">
      <c r="A53" s="138"/>
      <c r="B53" s="66" t="s">
        <v>89</v>
      </c>
      <c r="C53" s="69"/>
      <c r="D53" s="69"/>
      <c r="E53" s="69"/>
      <c r="F53" s="69"/>
      <c r="G53" s="69"/>
      <c r="H53" s="69"/>
      <c r="I53" s="69"/>
      <c r="J53" s="69">
        <f>'[4]credit50mil'!P2</f>
        <v>0</v>
      </c>
      <c r="K53" s="69">
        <f>'[4]credit50mil'!Q2</f>
        <v>0</v>
      </c>
      <c r="L53" s="69">
        <f>'[4]credit50mil'!R2</f>
        <v>0</v>
      </c>
      <c r="M53" s="69">
        <f>'[4]credit50mil'!S2</f>
        <v>6249.999999999999</v>
      </c>
      <c r="N53" s="69">
        <f>'[4]credit50mil'!T2</f>
        <v>6249.999999999999</v>
      </c>
      <c r="O53" s="69">
        <f>'[4]credit50mil'!U2</f>
        <v>6249.999999999999</v>
      </c>
      <c r="P53" s="69">
        <f>'[4]credit50mil'!V2</f>
        <v>6249.999999999999</v>
      </c>
      <c r="Q53" s="69">
        <f>'[4]credit50mil'!W2</f>
        <v>6249.999999999999</v>
      </c>
      <c r="R53" s="69">
        <f>'[4]credit50mil'!X2</f>
        <v>6249.999999999999</v>
      </c>
      <c r="S53" s="69">
        <f>'[4]credit50mil'!Y2</f>
        <v>6249.999999999999</v>
      </c>
      <c r="T53" s="69">
        <f>'[4]credit50mil'!Z2</f>
        <v>6249.999999999999</v>
      </c>
      <c r="U53" s="69"/>
      <c r="V53" s="69"/>
      <c r="X53" s="62"/>
    </row>
    <row r="54" spans="1:22" ht="11.25" customHeight="1">
      <c r="A54" s="138"/>
      <c r="B54" s="66" t="s">
        <v>90</v>
      </c>
      <c r="C54" s="69"/>
      <c r="D54" s="69"/>
      <c r="E54" s="69"/>
      <c r="F54" s="69"/>
      <c r="G54" s="69"/>
      <c r="H54" s="69"/>
      <c r="I54" s="69"/>
      <c r="J54" s="69">
        <f>'[4]credit50mil'!P3</f>
        <v>0</v>
      </c>
      <c r="K54" s="69">
        <f>'[4]credit50mil'!Q3</f>
        <v>1690</v>
      </c>
      <c r="L54" s="69">
        <f>'[4]credit50mil'!R3</f>
        <v>3703.9166666666665</v>
      </c>
      <c r="M54" s="69">
        <f>'[4]credit50mil'!S3</f>
        <v>3982.942708333332</v>
      </c>
      <c r="N54" s="69">
        <f>'[4]credit50mil'!T3</f>
        <v>3454.8177083333303</v>
      </c>
      <c r="O54" s="69">
        <f>'[4]credit50mil'!U3</f>
        <v>2926.6927083333276</v>
      </c>
      <c r="P54" s="69">
        <f>'[4]credit50mil'!V3</f>
        <v>2398.567708333328</v>
      </c>
      <c r="Q54" s="69">
        <f>'[4]credit50mil'!W3</f>
        <v>1870.4427083333294</v>
      </c>
      <c r="R54" s="69">
        <f>'[4]credit50mil'!X3</f>
        <v>1342.3177083333303</v>
      </c>
      <c r="S54" s="69">
        <f>'[4]credit50mil'!Y3</f>
        <v>814.1927083333295</v>
      </c>
      <c r="T54" s="69">
        <f>'[4]credit50mil'!Z3</f>
        <v>286.0677083333295</v>
      </c>
      <c r="U54" s="69"/>
      <c r="V54" s="69"/>
    </row>
    <row r="55" spans="1:22" ht="11.25" customHeight="1">
      <c r="A55" s="138"/>
      <c r="B55" s="66" t="s">
        <v>91</v>
      </c>
      <c r="C55" s="69"/>
      <c r="D55" s="69"/>
      <c r="E55" s="69"/>
      <c r="F55" s="69"/>
      <c r="G55" s="69"/>
      <c r="H55" s="69"/>
      <c r="I55" s="69"/>
      <c r="J55" s="69">
        <f>'[4]credit50mil'!P4</f>
        <v>150</v>
      </c>
      <c r="K55" s="69">
        <f>'[4]credit50mil'!Q4</f>
        <v>0</v>
      </c>
      <c r="L55" s="69">
        <f>'[4]credit50mil'!R4</f>
        <v>0</v>
      </c>
      <c r="M55" s="69">
        <f>'[4]credit50mil'!S4</f>
        <v>0</v>
      </c>
      <c r="N55" s="69">
        <f>'[4]credit50mil'!T4</f>
        <v>0</v>
      </c>
      <c r="O55" s="69">
        <f>'[4]credit50mil'!U4</f>
        <v>0</v>
      </c>
      <c r="P55" s="69">
        <f>'[4]credit50mil'!V4</f>
        <v>0</v>
      </c>
      <c r="Q55" s="69">
        <f>'[4]credit50mil'!W4</f>
        <v>0</v>
      </c>
      <c r="R55" s="69">
        <f>'[4]credit50mil'!X4</f>
        <v>0</v>
      </c>
      <c r="S55" s="69">
        <f>'[4]credit50mil'!Y4</f>
        <v>0</v>
      </c>
      <c r="T55" s="69">
        <f>'[4]credit50mil'!Z4</f>
        <v>0</v>
      </c>
      <c r="U55" s="69"/>
      <c r="V55" s="69"/>
    </row>
    <row r="56" spans="1:22" s="74" customFormat="1" ht="12" customHeight="1">
      <c r="A56" s="138"/>
      <c r="B56" s="68" t="s">
        <v>92</v>
      </c>
      <c r="C56" s="67">
        <f aca="true" t="shared" si="15" ref="C56:J56">C53+C54+C55</f>
        <v>0</v>
      </c>
      <c r="D56" s="67">
        <f t="shared" si="15"/>
        <v>0</v>
      </c>
      <c r="E56" s="67">
        <f t="shared" si="15"/>
        <v>0</v>
      </c>
      <c r="F56" s="67">
        <f t="shared" si="15"/>
        <v>0</v>
      </c>
      <c r="G56" s="67">
        <f t="shared" si="15"/>
        <v>0</v>
      </c>
      <c r="H56" s="67">
        <f t="shared" si="15"/>
        <v>0</v>
      </c>
      <c r="I56" s="67">
        <f t="shared" si="15"/>
        <v>0</v>
      </c>
      <c r="J56" s="67">
        <f t="shared" si="15"/>
        <v>150</v>
      </c>
      <c r="K56" s="67">
        <f>K53+K54+K55</f>
        <v>1690</v>
      </c>
      <c r="L56" s="67">
        <f>L53+L54+L55</f>
        <v>3703.9166666666665</v>
      </c>
      <c r="M56" s="67">
        <f aca="true" t="shared" si="16" ref="M56:T56">M53+M54+M55</f>
        <v>10232.942708333332</v>
      </c>
      <c r="N56" s="67">
        <f t="shared" si="16"/>
        <v>9704.817708333328</v>
      </c>
      <c r="O56" s="67">
        <f t="shared" si="16"/>
        <v>9176.692708333327</v>
      </c>
      <c r="P56" s="67">
        <f t="shared" si="16"/>
        <v>8648.567708333327</v>
      </c>
      <c r="Q56" s="67">
        <f t="shared" si="16"/>
        <v>8120.4427083333285</v>
      </c>
      <c r="R56" s="67">
        <f t="shared" si="16"/>
        <v>7592.317708333329</v>
      </c>
      <c r="S56" s="67">
        <f t="shared" si="16"/>
        <v>7064.1927083333285</v>
      </c>
      <c r="T56" s="67">
        <f t="shared" si="16"/>
        <v>6536.0677083333285</v>
      </c>
      <c r="U56" s="67"/>
      <c r="V56" s="75"/>
    </row>
    <row r="57" spans="1:22" s="74" customFormat="1" ht="12" customHeight="1" hidden="1">
      <c r="A57" s="65"/>
      <c r="B57" s="66" t="s">
        <v>89</v>
      </c>
      <c r="C57" s="69"/>
      <c r="D57" s="69"/>
      <c r="E57" s="69"/>
      <c r="F57" s="69"/>
      <c r="G57" s="69"/>
      <c r="H57" s="69"/>
      <c r="I57" s="69"/>
      <c r="J57" s="69"/>
      <c r="K57" s="69"/>
      <c r="L57" s="69"/>
      <c r="M57" s="69"/>
      <c r="N57" s="69"/>
      <c r="O57" s="69"/>
      <c r="P57" s="69">
        <f>'[4]ImprumutTrez'!Q5</f>
        <v>0</v>
      </c>
      <c r="Q57" s="69">
        <f>'[4]credit50mil'!W6</f>
        <v>0</v>
      </c>
      <c r="R57" s="69">
        <f>'[4]credit50mil'!X6</f>
        <v>0</v>
      </c>
      <c r="S57" s="69">
        <f>'[4]credit50mil'!Y6</f>
        <v>0</v>
      </c>
      <c r="T57" s="69">
        <f>'[4]credit50mil'!Z6</f>
        <v>0</v>
      </c>
      <c r="U57" s="67"/>
      <c r="V57" s="75"/>
    </row>
    <row r="58" spans="1:22" s="74" customFormat="1" ht="12" customHeight="1" hidden="1">
      <c r="A58" s="65"/>
      <c r="B58" s="66" t="s">
        <v>90</v>
      </c>
      <c r="C58" s="69"/>
      <c r="D58" s="69"/>
      <c r="E58" s="69"/>
      <c r="F58" s="69"/>
      <c r="G58" s="69"/>
      <c r="H58" s="69"/>
      <c r="I58" s="69"/>
      <c r="J58" s="69"/>
      <c r="K58" s="69"/>
      <c r="L58" s="69"/>
      <c r="M58" s="69"/>
      <c r="N58" s="69"/>
      <c r="O58" s="69"/>
      <c r="P58" s="69">
        <f>'[4]ImprumutTrez'!Q6</f>
        <v>0</v>
      </c>
      <c r="Q58" s="69">
        <f>'[4]credit50mil'!W7</f>
        <v>0</v>
      </c>
      <c r="R58" s="69">
        <f>'[4]credit50mil'!X7</f>
        <v>0</v>
      </c>
      <c r="S58" s="69">
        <f>'[4]credit50mil'!Y7</f>
        <v>0</v>
      </c>
      <c r="T58" s="69">
        <f>'[4]credit50mil'!Z7</f>
        <v>0</v>
      </c>
      <c r="U58" s="67"/>
      <c r="V58" s="75"/>
    </row>
    <row r="59" spans="1:22" s="74" customFormat="1" ht="12" customHeight="1" hidden="1">
      <c r="A59" s="65"/>
      <c r="B59" s="66" t="s">
        <v>91</v>
      </c>
      <c r="C59" s="69"/>
      <c r="D59" s="69"/>
      <c r="E59" s="69"/>
      <c r="F59" s="69"/>
      <c r="G59" s="69"/>
      <c r="H59" s="69"/>
      <c r="I59" s="69"/>
      <c r="J59" s="69"/>
      <c r="K59" s="69"/>
      <c r="L59" s="69"/>
      <c r="M59" s="69"/>
      <c r="N59" s="69"/>
      <c r="O59" s="69"/>
      <c r="P59" s="69">
        <f>'[4]ImprumutTrez'!Q7</f>
        <v>0</v>
      </c>
      <c r="Q59" s="69">
        <f>'[4]credit50mil'!W8</f>
        <v>0</v>
      </c>
      <c r="R59" s="69">
        <f>'[4]credit50mil'!X8</f>
        <v>0</v>
      </c>
      <c r="S59" s="69">
        <f>'[4]credit50mil'!Y8</f>
        <v>0</v>
      </c>
      <c r="T59" s="69">
        <f>'[4]credit50mil'!Z8</f>
        <v>0</v>
      </c>
      <c r="U59" s="67"/>
      <c r="V59" s="75"/>
    </row>
    <row r="60" spans="1:22" s="74" customFormat="1" ht="12" customHeight="1" hidden="1">
      <c r="A60" s="65"/>
      <c r="B60" s="68" t="s">
        <v>93</v>
      </c>
      <c r="C60" s="67">
        <f aca="true" t="shared" si="17" ref="C60:J60">C57+C58+C59</f>
        <v>0</v>
      </c>
      <c r="D60" s="67">
        <f t="shared" si="17"/>
        <v>0</v>
      </c>
      <c r="E60" s="67">
        <f t="shared" si="17"/>
        <v>0</v>
      </c>
      <c r="F60" s="67">
        <f t="shared" si="17"/>
        <v>0</v>
      </c>
      <c r="G60" s="67">
        <f t="shared" si="17"/>
        <v>0</v>
      </c>
      <c r="H60" s="67">
        <f t="shared" si="17"/>
        <v>0</v>
      </c>
      <c r="I60" s="67">
        <f t="shared" si="17"/>
        <v>0</v>
      </c>
      <c r="J60" s="67">
        <f t="shared" si="17"/>
        <v>0</v>
      </c>
      <c r="K60" s="67">
        <f>K57+K58+K59</f>
        <v>0</v>
      </c>
      <c r="L60" s="67">
        <f>L57+L58+L59</f>
        <v>0</v>
      </c>
      <c r="M60" s="67">
        <f aca="true" t="shared" si="18" ref="M60:T60">M57+M58+M59</f>
        <v>0</v>
      </c>
      <c r="N60" s="67">
        <f t="shared" si="18"/>
        <v>0</v>
      </c>
      <c r="O60" s="67">
        <f t="shared" si="18"/>
        <v>0</v>
      </c>
      <c r="P60" s="67">
        <f t="shared" si="18"/>
        <v>0</v>
      </c>
      <c r="Q60" s="67">
        <f t="shared" si="18"/>
        <v>0</v>
      </c>
      <c r="R60" s="67">
        <f t="shared" si="18"/>
        <v>0</v>
      </c>
      <c r="S60" s="67">
        <f t="shared" si="18"/>
        <v>0</v>
      </c>
      <c r="T60" s="67">
        <f t="shared" si="18"/>
        <v>0</v>
      </c>
      <c r="U60" s="67"/>
      <c r="V60" s="75"/>
    </row>
    <row r="61" spans="1:22" s="74" customFormat="1" ht="24">
      <c r="A61" s="138">
        <v>3</v>
      </c>
      <c r="B61" s="68" t="s">
        <v>94</v>
      </c>
      <c r="C61" s="67">
        <f aca="true" t="shared" si="19" ref="C61:P61">C62+C63+C64</f>
        <v>4123.222261604999</v>
      </c>
      <c r="D61" s="67">
        <f t="shared" si="19"/>
        <v>4005.128869329</v>
      </c>
      <c r="E61" s="67">
        <f t="shared" si="19"/>
        <v>5211.623056453001</v>
      </c>
      <c r="F61" s="67">
        <f t="shared" si="19"/>
        <v>5375.3011060769995</v>
      </c>
      <c r="G61" s="67">
        <f t="shared" si="19"/>
        <v>5474.340003401</v>
      </c>
      <c r="H61" s="67">
        <f t="shared" si="19"/>
        <v>5156.9191207250005</v>
      </c>
      <c r="I61" s="67">
        <f t="shared" si="19"/>
        <v>27796.214480519608</v>
      </c>
      <c r="J61" s="67">
        <f t="shared" si="19"/>
        <v>31010.96807372451</v>
      </c>
      <c r="K61" s="67">
        <f t="shared" si="19"/>
        <v>30491.449391589293</v>
      </c>
      <c r="L61" s="67">
        <f t="shared" si="19"/>
        <v>31367.608141815817</v>
      </c>
      <c r="M61" s="67">
        <f t="shared" si="19"/>
        <v>33686.76167200597</v>
      </c>
      <c r="N61" s="67">
        <f t="shared" si="19"/>
        <v>27218.213107970285</v>
      </c>
      <c r="O61" s="67">
        <f t="shared" si="19"/>
        <v>23500.797139128226</v>
      </c>
      <c r="P61" s="67">
        <f t="shared" si="19"/>
        <v>16507.703320573288</v>
      </c>
      <c r="Q61" s="67">
        <f>Q62+Q63+Q64</f>
        <v>14708.074155925788</v>
      </c>
      <c r="R61" s="67">
        <f>R62+R63+R64</f>
        <v>11076.554207465164</v>
      </c>
      <c r="S61" s="67">
        <f>S62+S63+S64</f>
        <v>10138.830469928524</v>
      </c>
      <c r="T61" s="67">
        <f>T62+T63+T64</f>
        <v>9354.923597989555</v>
      </c>
      <c r="U61" s="67">
        <f>U62+U63+U64</f>
        <v>2565.5034249134196</v>
      </c>
      <c r="V61" s="67">
        <f>V62+V63+V64</f>
        <v>1757.843322561918</v>
      </c>
    </row>
    <row r="62" spans="1:22" s="74" customFormat="1" ht="24">
      <c r="A62" s="138"/>
      <c r="B62" s="66" t="s">
        <v>95</v>
      </c>
      <c r="C62" s="69">
        <f aca="true" t="shared" si="20" ref="C62:H64">+C12+C16+C20+C24+C53+C28+C32+C36</f>
        <v>2707.699154</v>
      </c>
      <c r="D62" s="69">
        <f t="shared" si="20"/>
        <v>2707.699154</v>
      </c>
      <c r="E62" s="69">
        <f t="shared" si="20"/>
        <v>3591.274834</v>
      </c>
      <c r="F62" s="69">
        <f t="shared" si="20"/>
        <v>3824.5558439999995</v>
      </c>
      <c r="G62" s="69">
        <f t="shared" si="20"/>
        <v>4055.467194</v>
      </c>
      <c r="H62" s="69">
        <f t="shared" si="20"/>
        <v>4055.467194</v>
      </c>
      <c r="I62" s="69">
        <f>+I12+I16+I20+I24+I53+I28+I32+I36+I40+I44+I48</f>
        <v>21061.9418112</v>
      </c>
      <c r="J62" s="69">
        <f>+J12+J16+J20+J24+J53+J28+J32+J36+J40+J44+J48+J57</f>
        <v>22724.8656112</v>
      </c>
      <c r="K62" s="69">
        <f aca="true" t="shared" si="21" ref="J62:V64">+K12+K16+K20+K24+K53+K28+K32+K36+K40+K44+K48+K57</f>
        <v>21779.172694026085</v>
      </c>
      <c r="L62" s="69">
        <f t="shared" si="21"/>
        <v>21279.172281634783</v>
      </c>
      <c r="M62" s="69">
        <f t="shared" si="21"/>
        <v>24653.62628163478</v>
      </c>
      <c r="N62" s="69">
        <f t="shared" si="21"/>
        <v>19848.06828163478</v>
      </c>
      <c r="O62" s="69">
        <f t="shared" si="21"/>
        <v>17645.188301634782</v>
      </c>
      <c r="P62" s="69">
        <f t="shared" si="21"/>
        <v>12018.531631634782</v>
      </c>
      <c r="Q62" s="69">
        <f t="shared" si="21"/>
        <v>11250.769111634781</v>
      </c>
      <c r="R62" s="69">
        <f t="shared" si="21"/>
        <v>8595.843058434783</v>
      </c>
      <c r="S62" s="69">
        <f t="shared" si="21"/>
        <v>8467.230550434782</v>
      </c>
      <c r="T62" s="69">
        <f t="shared" si="21"/>
        <v>8467.230550434782</v>
      </c>
      <c r="U62" s="69">
        <f t="shared" si="21"/>
        <v>2217.230550434783</v>
      </c>
      <c r="V62" s="69">
        <f t="shared" si="21"/>
        <v>1662.9229128260868</v>
      </c>
    </row>
    <row r="63" spans="1:22" s="74" customFormat="1" ht="24">
      <c r="A63" s="138"/>
      <c r="B63" s="66" t="s">
        <v>96</v>
      </c>
      <c r="C63" s="69">
        <f t="shared" si="20"/>
        <v>1287.518417605</v>
      </c>
      <c r="D63" s="69">
        <f t="shared" si="20"/>
        <v>1238.350205329</v>
      </c>
      <c r="E63" s="69">
        <f t="shared" si="20"/>
        <v>1563.4631224530003</v>
      </c>
      <c r="F63" s="69">
        <f t="shared" si="20"/>
        <v>1498.5348420770001</v>
      </c>
      <c r="G63" s="69">
        <f t="shared" si="20"/>
        <v>1371.7968094010002</v>
      </c>
      <c r="H63" s="69">
        <f t="shared" si="20"/>
        <v>1059.7703367250003</v>
      </c>
      <c r="I63" s="69">
        <f>+I13+I17+I21+I25+I54+I29+I33+I37+I41+I45+I49</f>
        <v>6601.827789319611</v>
      </c>
      <c r="J63" s="69">
        <f>+J13+J17+J21+J25+J54+J29+J33+J37+J41+J45+J49+J58</f>
        <v>7967.3027796370125</v>
      </c>
      <c r="K63" s="69">
        <f t="shared" si="21"/>
        <v>8617.77186829821</v>
      </c>
      <c r="L63" s="69">
        <f t="shared" si="21"/>
        <v>10012.291781996035</v>
      </c>
      <c r="M63" s="69">
        <f t="shared" si="21"/>
        <v>8976.185403266189</v>
      </c>
      <c r="N63" s="69">
        <f t="shared" si="21"/>
        <v>7331.052250310508</v>
      </c>
      <c r="O63" s="69">
        <f t="shared" si="21"/>
        <v>5834.043672548442</v>
      </c>
      <c r="P63" s="69">
        <f t="shared" si="21"/>
        <v>4479.525749008506</v>
      </c>
      <c r="Q63" s="69">
        <f t="shared" si="21"/>
        <v>3450.231355121007</v>
      </c>
      <c r="R63" s="69">
        <f t="shared" si="21"/>
        <v>2476.209710620382</v>
      </c>
      <c r="S63" s="69">
        <f t="shared" si="21"/>
        <v>1671.5999194937413</v>
      </c>
      <c r="T63" s="69">
        <f t="shared" si="21"/>
        <v>887.6930475547719</v>
      </c>
      <c r="U63" s="69">
        <f t="shared" si="21"/>
        <v>348.2728744786367</v>
      </c>
      <c r="V63" s="69">
        <f t="shared" si="21"/>
        <v>94.92040973583133</v>
      </c>
    </row>
    <row r="64" spans="1:22" s="74" customFormat="1" ht="24">
      <c r="A64" s="138"/>
      <c r="B64" s="66" t="s">
        <v>97</v>
      </c>
      <c r="C64" s="69">
        <f t="shared" si="20"/>
        <v>128.00468999999998</v>
      </c>
      <c r="D64" s="69">
        <f t="shared" si="20"/>
        <v>59.07951</v>
      </c>
      <c r="E64" s="69">
        <f t="shared" si="20"/>
        <v>56.8851</v>
      </c>
      <c r="F64" s="69">
        <f t="shared" si="20"/>
        <v>52.210420000000006</v>
      </c>
      <c r="G64" s="69">
        <f t="shared" si="20"/>
        <v>47.07600000000002</v>
      </c>
      <c r="H64" s="69">
        <f t="shared" si="20"/>
        <v>41.68159000000003</v>
      </c>
      <c r="I64" s="69">
        <f>+I14+I18+I22+I26+I55+I30+I34+I38+I42+I46+I50</f>
        <v>132.44488</v>
      </c>
      <c r="J64" s="69">
        <f t="shared" si="21"/>
        <v>318.79968288750007</v>
      </c>
      <c r="K64" s="69">
        <f t="shared" si="21"/>
        <v>94.50482926500004</v>
      </c>
      <c r="L64" s="69">
        <f t="shared" si="21"/>
        <v>76.14407818500003</v>
      </c>
      <c r="M64" s="69">
        <f t="shared" si="21"/>
        <v>56.94998710499999</v>
      </c>
      <c r="N64" s="69">
        <f t="shared" si="21"/>
        <v>39.092576024999985</v>
      </c>
      <c r="O64" s="69">
        <f t="shared" si="21"/>
        <v>21.565164944999985</v>
      </c>
      <c r="P64" s="69">
        <f t="shared" si="21"/>
        <v>9.645939929999924</v>
      </c>
      <c r="Q64" s="69">
        <f t="shared" si="21"/>
        <v>7.073689169999924</v>
      </c>
      <c r="R64" s="69">
        <f t="shared" si="21"/>
        <v>4.501438409999925</v>
      </c>
      <c r="S64" s="69">
        <f t="shared" si="21"/>
        <v>0</v>
      </c>
      <c r="T64" s="69">
        <f t="shared" si="21"/>
        <v>0</v>
      </c>
      <c r="U64" s="69">
        <f t="shared" si="21"/>
        <v>0</v>
      </c>
      <c r="V64" s="69">
        <f t="shared" si="21"/>
        <v>0</v>
      </c>
    </row>
    <row r="65" spans="1:22" s="74" customFormat="1" ht="12">
      <c r="A65" s="76"/>
      <c r="B65" s="139" t="s">
        <v>98</v>
      </c>
      <c r="C65" s="139"/>
      <c r="D65" s="139"/>
      <c r="E65" s="139"/>
      <c r="F65" s="139"/>
      <c r="G65" s="139"/>
      <c r="H65" s="139"/>
      <c r="I65" s="139"/>
      <c r="J65" s="139"/>
      <c r="K65" s="77"/>
      <c r="L65" s="77"/>
      <c r="M65" s="62"/>
      <c r="N65" s="62"/>
      <c r="O65" s="62"/>
      <c r="P65" s="62"/>
      <c r="Q65" s="60"/>
      <c r="R65" s="60"/>
      <c r="S65" s="60"/>
      <c r="T65" s="60"/>
      <c r="U65" s="60"/>
      <c r="V65" s="60"/>
    </row>
    <row r="66" spans="1:64" s="70" customFormat="1" ht="25.5" customHeight="1">
      <c r="A66" s="76"/>
      <c r="B66" s="136"/>
      <c r="C66" s="136"/>
      <c r="D66" s="136"/>
      <c r="E66" s="136"/>
      <c r="F66" s="136"/>
      <c r="G66" s="136"/>
      <c r="H66" s="136"/>
      <c r="I66" s="136"/>
      <c r="J66" s="136"/>
      <c r="K66" s="78"/>
      <c r="L66" s="78"/>
      <c r="M66" s="78"/>
      <c r="N66" s="62"/>
      <c r="O66" s="62"/>
      <c r="P66" s="62"/>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row>
    <row r="67" spans="1:16" ht="24.75" customHeight="1">
      <c r="A67" s="76"/>
      <c r="B67" s="136" t="str">
        <f>'[4]anexa 1.4'!B63:L63</f>
        <v>** cursul de schimb utilizat pentru conversia sumelor este de 1 euro = 4,9290 lei, publicat de BNR in data de 02.05.2023</v>
      </c>
      <c r="C67" s="136"/>
      <c r="D67" s="136"/>
      <c r="E67" s="136"/>
      <c r="F67" s="136"/>
      <c r="G67" s="136"/>
      <c r="H67" s="136"/>
      <c r="I67" s="136"/>
      <c r="J67" s="136"/>
      <c r="K67" s="136"/>
      <c r="L67" s="136"/>
      <c r="M67" s="62"/>
      <c r="N67" s="62"/>
      <c r="O67" s="62"/>
      <c r="P67" s="62"/>
    </row>
    <row r="68" ht="27" customHeight="1">
      <c r="U68" s="79" t="s">
        <v>31</v>
      </c>
    </row>
    <row r="69" ht="12" customHeight="1">
      <c r="U69" s="79"/>
    </row>
    <row r="70" spans="2:21" ht="12" customHeight="1">
      <c r="B70" s="61" t="s">
        <v>30</v>
      </c>
      <c r="D70" s="80"/>
      <c r="M70" s="76" t="s">
        <v>33</v>
      </c>
      <c r="U70" s="81">
        <v>45140</v>
      </c>
    </row>
    <row r="71" spans="2:13" ht="12" customHeight="1">
      <c r="B71" s="61" t="s">
        <v>32</v>
      </c>
      <c r="C71" s="76"/>
      <c r="I71" s="81"/>
      <c r="M71" s="61" t="s">
        <v>35</v>
      </c>
    </row>
    <row r="72" spans="2:3" ht="12">
      <c r="B72" s="61" t="s">
        <v>34</v>
      </c>
      <c r="C72" s="76"/>
    </row>
  </sheetData>
  <sheetProtection/>
  <mergeCells count="7">
    <mergeCell ref="B67:L67"/>
    <mergeCell ref="I4:R4"/>
    <mergeCell ref="I5:R5"/>
    <mergeCell ref="A8:A39"/>
    <mergeCell ref="A52:A56"/>
    <mergeCell ref="A61:A64"/>
    <mergeCell ref="B65:J66"/>
  </mergeCells>
  <printOptions/>
  <pageMargins left="0.25" right="0.25" top="0.75" bottom="0.75" header="0.3" footer="0.3"/>
  <pageSetup horizontalDpi="600" verticalDpi="600" orientation="landscape"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VMB 2</dc:creator>
  <cp:keywords/>
  <dc:description/>
  <cp:lastModifiedBy>cont1</cp:lastModifiedBy>
  <cp:lastPrinted>2023-08-02T09:30:29Z</cp:lastPrinted>
  <dcterms:created xsi:type="dcterms:W3CDTF">2023-07-27T07:21:39Z</dcterms:created>
  <dcterms:modified xsi:type="dcterms:W3CDTF">2023-08-11T11:11:03Z</dcterms:modified>
  <cp:category/>
  <cp:version/>
  <cp:contentType/>
  <cp:contentStatus/>
</cp:coreProperties>
</file>